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9" activeTab="0"/>
  </bookViews>
  <sheets>
    <sheet name="льгота 2х разовое 5-11кл_школа" sheetId="1" r:id="rId1"/>
  </sheets>
  <definedNames/>
  <calcPr fullCalcOnLoad="1"/>
</workbook>
</file>

<file path=xl/sharedStrings.xml><?xml version="1.0" encoding="utf-8"?>
<sst xmlns="http://schemas.openxmlformats.org/spreadsheetml/2006/main" count="590" uniqueCount="97">
  <si>
    <t>Неделя:  первая</t>
  </si>
  <si>
    <t>Возрастная категория:  с 12 лет и старше</t>
  </si>
  <si>
    <t>1 день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</si>
  <si>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</si>
  <si>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</si>
  <si>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</si>
  <si>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</si>
  <si>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№ рецептуры</t>
  </si>
  <si>
    <t>Б</t>
  </si>
  <si>
    <t>Ж</t>
  </si>
  <si>
    <t>У</t>
  </si>
  <si>
    <t>ЗАВТРАК</t>
  </si>
  <si>
    <t>Запеканка из творога с молоком сгущенным</t>
  </si>
  <si>
    <t>Фрукты свежие</t>
  </si>
  <si>
    <t>Чай с сахаром</t>
  </si>
  <si>
    <t>Итого за завтрак:</t>
  </si>
  <si>
    <t>ОБЕД</t>
  </si>
  <si>
    <t>Суп картофельный с макаронными изделиями</t>
  </si>
  <si>
    <t>Каша рассыпчатая</t>
  </si>
  <si>
    <t>Птица тушенная в соусе</t>
  </si>
  <si>
    <t>Хлеб пшеничный</t>
  </si>
  <si>
    <t>ПП</t>
  </si>
  <si>
    <t>Хлеб ржано — пшеничный</t>
  </si>
  <si>
    <t>Итого за обед:</t>
  </si>
  <si>
    <t>ИТОГО за весь день:</t>
  </si>
  <si>
    <t>2 день</t>
  </si>
  <si>
    <t>Рыба, тушенная в томате с овощами</t>
  </si>
  <si>
    <t>Картофельное пюре</t>
  </si>
  <si>
    <t>Чай с сахаром и лимоном</t>
  </si>
  <si>
    <t>180/7</t>
  </si>
  <si>
    <t>Борщ с капустой и картофелем</t>
  </si>
  <si>
    <t>Котлеты рубленные из птицы с соусом</t>
  </si>
  <si>
    <t>Макаронные изделия отварные</t>
  </si>
  <si>
    <t xml:space="preserve">Хлеб пшеничный </t>
  </si>
  <si>
    <t>ИТОГО за весь день</t>
  </si>
  <si>
    <t>3 день</t>
  </si>
  <si>
    <t>Каша жидкая молочная</t>
  </si>
  <si>
    <t>Кофейный напиток с молоком</t>
  </si>
  <si>
    <t>Пирожок печеный</t>
  </si>
  <si>
    <t>Суп картофельный с крупой</t>
  </si>
  <si>
    <t>Капуста тушенная</t>
  </si>
  <si>
    <t>Птица отварная</t>
  </si>
  <si>
    <t>4 день</t>
  </si>
  <si>
    <t>Овощи по- сезону</t>
  </si>
  <si>
    <t>Плов из птицы</t>
  </si>
  <si>
    <t>Кондитерское изделие</t>
  </si>
  <si>
    <t>Суп с бобовыми</t>
  </si>
  <si>
    <t>Птица, тушенная в соусе с овощами</t>
  </si>
  <si>
    <t>Компот из свежих плодов</t>
  </si>
  <si>
    <t>5 день</t>
  </si>
  <si>
    <t>Котлета мясная</t>
  </si>
  <si>
    <t>Рагу из овощей</t>
  </si>
  <si>
    <t>Суп картофельный</t>
  </si>
  <si>
    <t>Компот из смеси сухофруктов</t>
  </si>
  <si>
    <t>ИТОГО за день:</t>
  </si>
  <si>
    <t>Неделя:  вторая</t>
  </si>
  <si>
    <t>6 день</t>
  </si>
  <si>
    <t>Икра кабачковая</t>
  </si>
  <si>
    <t>Омлет натуральный</t>
  </si>
  <si>
    <t>Суп из овощей</t>
  </si>
  <si>
    <t>7 день</t>
  </si>
  <si>
    <t>Какао с молоком</t>
  </si>
  <si>
    <t>8 день</t>
  </si>
  <si>
    <t>Тефтели мясные I вариант</t>
  </si>
  <si>
    <t>Овощи по - сезону</t>
  </si>
  <si>
    <t>Рассольник ленинградский</t>
  </si>
  <si>
    <t>9 день</t>
  </si>
  <si>
    <t>Макаронные изделия отварные с сыром</t>
  </si>
  <si>
    <t>Борщ с картофелем</t>
  </si>
  <si>
    <t>Каша  рассыпчатая</t>
  </si>
  <si>
    <t>10 день</t>
  </si>
  <si>
    <t>Неделя: третья</t>
  </si>
  <si>
    <t>11 день</t>
  </si>
  <si>
    <t>12 день</t>
  </si>
  <si>
    <t>Рыба, припущенная в молоке</t>
  </si>
  <si>
    <t>13 день</t>
  </si>
  <si>
    <t>Котлеты рубленные из птицы</t>
  </si>
  <si>
    <t>Суп картофельный с мясными фрикадельками</t>
  </si>
  <si>
    <t>14 день</t>
  </si>
  <si>
    <t xml:space="preserve">Фрукты свежие </t>
  </si>
  <si>
    <t>Голубцы ленивые</t>
  </si>
  <si>
    <t>15 день</t>
  </si>
  <si>
    <t>Борщ с фасолью и картофелем</t>
  </si>
  <si>
    <t>Неделя:  четвертая</t>
  </si>
  <si>
    <t>16 день</t>
  </si>
  <si>
    <t>Кисель витаминизированный</t>
  </si>
  <si>
    <t>Фрикадельки из кур</t>
  </si>
  <si>
    <t>Картофель отварной</t>
  </si>
  <si>
    <t>17 день</t>
  </si>
  <si>
    <t>Тефтели II вариант</t>
  </si>
  <si>
    <t>18 день</t>
  </si>
  <si>
    <t>Тефтели рыбные</t>
  </si>
  <si>
    <t>19 день</t>
  </si>
  <si>
    <t>Птица отварная с соусом</t>
  </si>
  <si>
    <t>Суп крестьянский с крупой</t>
  </si>
  <si>
    <t>Рыба, запеченная с морковью</t>
  </si>
  <si>
    <t>20 день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</si>
</sst>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2"/>
    </font>
    <font>
      <sz val="12"/>
      <color indexed="10"/>
      <name val="Times New Roman"/>
      <family val="1"/>
    </font>
    <font>
      <sz val="10"/>
      <name val="Arial Cyr"/>
      <family val="2"/>
    </font>
    <font>
      <b/>
      <sz val="12"/>
      <color indexed="17"/>
      <name val="Times New Roman"/>
      <family val="1"/>
    </font>
    <font>
      <sz val="10"/>
      <color indexed="8"/>
      <name val="Arial Cyr"/>
      <family val="2"/>
    </font>
    <font>
      <b/>
      <sz val="12"/>
      <color indexed="20"/>
      <name val="Times New Roman"/>
      <family val="1"/>
    </font>
    <font>
      <sz val="12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2" fontId="3" fillId="0" borderId="29" xfId="0" applyNumberFormat="1" applyFont="1" applyBorder="1" applyAlignment="1">
      <alignment horizontal="center" vertical="center"/>
    </xf>
    <xf numFmtId="0" fontId="3" fillId="0" borderId="17" xfId="33" applyFont="1" applyBorder="1" applyAlignment="1">
      <alignment horizontal="center" vertical="center" wrapText="1"/>
      <protection/>
    </xf>
    <xf numFmtId="2" fontId="3" fillId="0" borderId="18" xfId="33" applyNumberFormat="1" applyFont="1" applyBorder="1" applyAlignment="1">
      <alignment horizontal="center" vertical="center" wrapText="1"/>
      <protection/>
    </xf>
    <xf numFmtId="2" fontId="3" fillId="0" borderId="10" xfId="33" applyNumberFormat="1" applyFont="1" applyBorder="1" applyAlignment="1">
      <alignment horizontal="center" vertical="center" wrapText="1"/>
      <protection/>
    </xf>
    <xf numFmtId="2" fontId="3" fillId="0" borderId="19" xfId="33" applyNumberFormat="1" applyFont="1" applyBorder="1" applyAlignment="1">
      <alignment horizontal="center" vertical="center" wrapText="1"/>
      <protection/>
    </xf>
    <xf numFmtId="2" fontId="3" fillId="0" borderId="19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164" fontId="3" fillId="0" borderId="34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44" xfId="0" applyFont="1" applyBorder="1" applyAlignment="1">
      <alignment horizontal="center" vertical="center" wrapText="1"/>
    </xf>
    <xf numFmtId="2" fontId="3" fillId="0" borderId="45" xfId="0" applyNumberFormat="1" applyFont="1" applyBorder="1" applyAlignment="1">
      <alignment horizontal="center" vertical="center" wrapText="1"/>
    </xf>
    <xf numFmtId="2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2" fontId="3" fillId="0" borderId="52" xfId="0" applyNumberFormat="1" applyFont="1" applyBorder="1" applyAlignment="1">
      <alignment horizontal="center" vertical="center" wrapText="1"/>
    </xf>
    <xf numFmtId="2" fontId="3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2" fontId="1" fillId="0" borderId="55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/>
    </xf>
    <xf numFmtId="2" fontId="3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2" fontId="1" fillId="0" borderId="57" xfId="0" applyNumberFormat="1" applyFont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/>
    </xf>
    <xf numFmtId="0" fontId="10" fillId="0" borderId="18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18" xfId="0" applyNumberFormat="1" applyFill="1" applyBorder="1" applyAlignment="1">
      <alignment/>
    </xf>
    <xf numFmtId="0" fontId="4" fillId="0" borderId="19" xfId="0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1" fillId="0" borderId="60" xfId="0" applyNumberFormat="1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/>
    </xf>
    <xf numFmtId="0" fontId="11" fillId="0" borderId="18" xfId="0" applyNumberFormat="1" applyFont="1" applyFill="1" applyBorder="1" applyAlignment="1">
      <alignment/>
    </xf>
    <xf numFmtId="49" fontId="3" fillId="0" borderId="48" xfId="0" applyNumberFormat="1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/>
    </xf>
    <xf numFmtId="2" fontId="3" fillId="0" borderId="46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 wrapText="1"/>
    </xf>
    <xf numFmtId="2" fontId="3" fillId="0" borderId="49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6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2" fontId="3" fillId="0" borderId="56" xfId="0" applyNumberFormat="1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398"/>
  <sheetViews>
    <sheetView tabSelected="1" zoomScale="120" zoomScaleNormal="120" zoomScalePageLayoutView="0" workbookViewId="0" topLeftCell="A1">
      <selection activeCell="A1" sqref="A1:C1"/>
    </sheetView>
  </sheetViews>
  <sheetFormatPr defaultColWidth="11.00390625" defaultRowHeight="12.75"/>
  <cols>
    <col min="1" max="1" width="8.57421875" style="1" customWidth="1"/>
    <col min="2" max="2" width="5.421875" style="1" customWidth="1"/>
    <col min="3" max="3" width="41.00390625" style="1" customWidth="1"/>
    <col min="4" max="4" width="10.28125" style="1" customWidth="1"/>
    <col min="5" max="7" width="11.140625" style="1" customWidth="1"/>
    <col min="8" max="8" width="18.57421875" style="1" customWidth="1"/>
    <col min="9" max="9" width="12.7109375" style="1" customWidth="1"/>
    <col min="10" max="10" width="8.7109375" style="2" customWidth="1"/>
    <col min="11" max="11" width="8.7109375" style="1" customWidth="1"/>
    <col min="12" max="12" width="19.00390625" style="1" customWidth="1"/>
    <col min="13" max="225" width="8.7109375" style="1" customWidth="1"/>
    <col min="226" max="252" width="11.00390625" style="1" customWidth="1"/>
  </cols>
  <sheetData>
    <row r="1" spans="1:9" ht="15">
      <c r="A1" s="183" t="s">
        <v>0</v>
      </c>
      <c r="B1" s="183"/>
      <c r="C1" s="183"/>
      <c r="D1" s="3"/>
      <c r="E1" s="4"/>
      <c r="F1" s="5"/>
      <c r="G1" s="5"/>
      <c r="H1" s="5"/>
      <c r="I1" s="5"/>
    </row>
    <row r="2" spans="1:9" ht="16.5" customHeight="1">
      <c r="A2" s="184" t="s">
        <v>1</v>
      </c>
      <c r="B2" s="184"/>
      <c r="C2" s="184"/>
      <c r="D2" s="6"/>
      <c r="E2" s="7"/>
      <c r="F2" s="8"/>
      <c r="G2" s="8"/>
      <c r="H2" s="8"/>
      <c r="I2" s="8"/>
    </row>
    <row r="3" spans="1:9" ht="16.5" customHeight="1">
      <c r="A3" s="185" t="s">
        <v>2</v>
      </c>
      <c r="B3" s="185"/>
      <c r="C3" s="185"/>
      <c r="D3" s="185"/>
      <c r="E3" s="185"/>
      <c r="F3" s="185"/>
      <c r="G3" s="185"/>
      <c r="H3" s="185"/>
      <c r="I3" s="185"/>
    </row>
    <row r="4" spans="1:9" ht="27.75" customHeight="1">
      <c r="A4" s="186" t="s">
        <v>3</v>
      </c>
      <c r="B4" s="186"/>
      <c r="C4" s="186"/>
      <c r="D4" s="185" t="s">
        <v>4</v>
      </c>
      <c r="E4" s="187" t="s">
        <v>5</v>
      </c>
      <c r="F4" s="187"/>
      <c r="G4" s="187"/>
      <c r="H4" s="188" t="s">
        <v>6</v>
      </c>
      <c r="I4" s="185" t="s">
        <v>7</v>
      </c>
    </row>
    <row r="5" spans="1:9" ht="17.25" customHeight="1">
      <c r="A5" s="186"/>
      <c r="B5" s="186"/>
      <c r="C5" s="186"/>
      <c r="D5" s="185"/>
      <c r="E5" s="9" t="s">
        <v>8</v>
      </c>
      <c r="F5" s="10" t="s">
        <v>9</v>
      </c>
      <c r="G5" s="10" t="s">
        <v>10</v>
      </c>
      <c r="H5" s="188"/>
      <c r="I5" s="185"/>
    </row>
    <row r="6" spans="1:9" ht="16.5" customHeight="1">
      <c r="A6" s="189" t="s">
        <v>11</v>
      </c>
      <c r="B6" s="189"/>
      <c r="C6" s="189"/>
      <c r="D6" s="189"/>
      <c r="E6" s="189"/>
      <c r="F6" s="189"/>
      <c r="G6" s="189"/>
      <c r="H6" s="189"/>
      <c r="I6" s="189"/>
    </row>
    <row r="7" spans="1:9" ht="16.5" customHeight="1">
      <c r="A7" s="190" t="s">
        <v>12</v>
      </c>
      <c r="B7" s="190"/>
      <c r="C7" s="190"/>
      <c r="D7" s="11">
        <v>120</v>
      </c>
      <c r="E7" s="12">
        <f>10.23/70*120</f>
        <v>17.537142857142857</v>
      </c>
      <c r="F7" s="13">
        <f>7.74/70*120</f>
        <v>13.268571428571429</v>
      </c>
      <c r="G7" s="13">
        <v>47.6</v>
      </c>
      <c r="H7" s="14">
        <f>189/70*120</f>
        <v>324</v>
      </c>
      <c r="I7" s="15">
        <v>223</v>
      </c>
    </row>
    <row r="8" spans="1:10" ht="16.5" customHeight="1">
      <c r="A8" s="191" t="s">
        <v>13</v>
      </c>
      <c r="B8" s="191"/>
      <c r="C8" s="191"/>
      <c r="D8" s="16">
        <v>120</v>
      </c>
      <c r="E8" s="17">
        <f>0.4/100*120</f>
        <v>0.48</v>
      </c>
      <c r="F8" s="18">
        <v>0.48</v>
      </c>
      <c r="G8" s="18">
        <f>0.8/100*120</f>
        <v>0.96</v>
      </c>
      <c r="H8" s="19">
        <f>47/100*120</f>
        <v>56.4</v>
      </c>
      <c r="I8" s="20">
        <v>338</v>
      </c>
      <c r="J8" s="21"/>
    </row>
    <row r="9" spans="1:243" s="27" customFormat="1" ht="15.75" customHeight="1">
      <c r="A9" s="192" t="s">
        <v>14</v>
      </c>
      <c r="B9" s="192"/>
      <c r="C9" s="192"/>
      <c r="D9" s="22">
        <v>180</v>
      </c>
      <c r="E9" s="23">
        <v>0.06</v>
      </c>
      <c r="F9" s="24">
        <v>0.02</v>
      </c>
      <c r="G9" s="24">
        <v>9.99</v>
      </c>
      <c r="H9" s="25">
        <v>40</v>
      </c>
      <c r="I9" s="26">
        <v>392</v>
      </c>
      <c r="J9" s="21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</row>
    <row r="10" spans="1:11" ht="16.5" customHeight="1">
      <c r="A10" s="193" t="s">
        <v>15</v>
      </c>
      <c r="B10" s="193"/>
      <c r="C10" s="193"/>
      <c r="D10" s="29">
        <f>SUM(D7:D9)</f>
        <v>420</v>
      </c>
      <c r="E10" s="30">
        <f>SUM(E7:E9)</f>
        <v>18.077142857142857</v>
      </c>
      <c r="F10" s="31">
        <f>SUM(F7:F9)</f>
        <v>13.768571428571429</v>
      </c>
      <c r="G10" s="31">
        <f>SUM(G7:G9)</f>
        <v>58.550000000000004</v>
      </c>
      <c r="H10" s="32">
        <f>SUM(H7:H9)</f>
        <v>420.4</v>
      </c>
      <c r="I10" s="33"/>
      <c r="K10" s="34"/>
    </row>
    <row r="11" spans="1:9" ht="16.5" customHeight="1">
      <c r="A11" s="194" t="s">
        <v>16</v>
      </c>
      <c r="B11" s="194"/>
      <c r="C11" s="194"/>
      <c r="D11" s="194"/>
      <c r="E11" s="194"/>
      <c r="F11" s="194"/>
      <c r="G11" s="194"/>
      <c r="H11" s="194"/>
      <c r="I11" s="194"/>
    </row>
    <row r="12" spans="1:248" ht="15.75" customHeight="1">
      <c r="A12" s="190" t="s">
        <v>17</v>
      </c>
      <c r="B12" s="190"/>
      <c r="C12" s="190"/>
      <c r="D12" s="11">
        <v>250</v>
      </c>
      <c r="E12" s="12">
        <f>10.75/1000*250</f>
        <v>2.6875</v>
      </c>
      <c r="F12" s="13">
        <f>11.35/1000*250</f>
        <v>2.8375</v>
      </c>
      <c r="G12" s="13">
        <f>69.82/1000*250</f>
        <v>17.455</v>
      </c>
      <c r="H12" s="14">
        <f>473/1000*250</f>
        <v>118.25</v>
      </c>
      <c r="I12" s="15">
        <v>103</v>
      </c>
      <c r="J12" s="36"/>
      <c r="IJ12" s="27"/>
      <c r="IK12" s="27"/>
      <c r="IL12" s="27"/>
      <c r="IM12" s="27"/>
      <c r="IN12" s="27"/>
    </row>
    <row r="13" spans="1:10" ht="15" customHeight="1">
      <c r="A13" s="191" t="s">
        <v>18</v>
      </c>
      <c r="B13" s="191"/>
      <c r="C13" s="191"/>
      <c r="D13" s="16">
        <v>180</v>
      </c>
      <c r="E13" s="37">
        <f>42.1/1000*180</f>
        <v>7.577999999999999</v>
      </c>
      <c r="F13" s="18">
        <f>30.03/1000*180</f>
        <v>5.4054</v>
      </c>
      <c r="G13" s="18">
        <f>259.01/1000*180</f>
        <v>46.6218</v>
      </c>
      <c r="H13" s="19">
        <f>1475/1000*180</f>
        <v>265.5</v>
      </c>
      <c r="I13" s="20">
        <v>302</v>
      </c>
      <c r="J13" s="36"/>
    </row>
    <row r="14" spans="1:10" ht="15" customHeight="1">
      <c r="A14" s="191" t="s">
        <v>19</v>
      </c>
      <c r="B14" s="191"/>
      <c r="C14" s="191"/>
      <c r="D14" s="38">
        <v>100</v>
      </c>
      <c r="E14" s="39">
        <v>11.09</v>
      </c>
      <c r="F14" s="40">
        <v>11.26</v>
      </c>
      <c r="G14" s="40">
        <v>3.51</v>
      </c>
      <c r="H14" s="41">
        <v>166</v>
      </c>
      <c r="I14" s="20">
        <v>290</v>
      </c>
      <c r="J14" s="36"/>
    </row>
    <row r="15" spans="1:248" ht="15.75" customHeight="1">
      <c r="A15" s="191" t="s">
        <v>20</v>
      </c>
      <c r="B15" s="191"/>
      <c r="C15" s="191"/>
      <c r="D15" s="16">
        <v>30</v>
      </c>
      <c r="E15" s="17">
        <v>2.37</v>
      </c>
      <c r="F15" s="18">
        <v>0.30000000000000004</v>
      </c>
      <c r="G15" s="18">
        <v>14.49</v>
      </c>
      <c r="H15" s="42">
        <v>70.5</v>
      </c>
      <c r="I15" s="20" t="s">
        <v>21</v>
      </c>
      <c r="J15" s="36"/>
      <c r="IJ15" s="27"/>
      <c r="IK15" s="27"/>
      <c r="IL15" s="27"/>
      <c r="IM15" s="27"/>
      <c r="IN15" s="27"/>
    </row>
    <row r="16" spans="1:248" ht="15.75" customHeight="1">
      <c r="A16" s="191" t="s">
        <v>22</v>
      </c>
      <c r="B16" s="191"/>
      <c r="C16" s="191"/>
      <c r="D16" s="16">
        <v>30</v>
      </c>
      <c r="E16" s="17">
        <v>1.98</v>
      </c>
      <c r="F16" s="18">
        <v>0.36</v>
      </c>
      <c r="G16" s="18">
        <v>10.02</v>
      </c>
      <c r="H16" s="19">
        <v>52.2</v>
      </c>
      <c r="I16" s="20" t="s">
        <v>21</v>
      </c>
      <c r="J16" s="36"/>
      <c r="IJ16" s="27"/>
      <c r="IK16" s="27"/>
      <c r="IL16" s="27"/>
      <c r="IM16" s="27"/>
      <c r="IN16" s="27"/>
    </row>
    <row r="17" spans="1:243" s="27" customFormat="1" ht="15.75" customHeight="1">
      <c r="A17" s="192" t="s">
        <v>14</v>
      </c>
      <c r="B17" s="192"/>
      <c r="C17" s="192"/>
      <c r="D17" s="22">
        <v>180</v>
      </c>
      <c r="E17" s="23">
        <v>0.06</v>
      </c>
      <c r="F17" s="24">
        <v>0.02</v>
      </c>
      <c r="G17" s="24">
        <v>9.99</v>
      </c>
      <c r="H17" s="25">
        <v>40</v>
      </c>
      <c r="I17" s="26">
        <v>392</v>
      </c>
      <c r="J17" s="36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</row>
    <row r="18" spans="1:10" ht="16.5" customHeight="1">
      <c r="A18" s="193" t="s">
        <v>23</v>
      </c>
      <c r="B18" s="193"/>
      <c r="C18" s="193"/>
      <c r="D18" s="29">
        <f>SUM(D12:D17)</f>
        <v>770</v>
      </c>
      <c r="E18" s="30">
        <f>SUM(E12:E17)</f>
        <v>25.7655</v>
      </c>
      <c r="F18" s="31">
        <f>SUM(F12:F17)</f>
        <v>20.1829</v>
      </c>
      <c r="G18" s="31">
        <f>SUM(G12:G17)</f>
        <v>102.08679999999998</v>
      </c>
      <c r="H18" s="32">
        <f>SUM(H12:H17)</f>
        <v>712.45</v>
      </c>
      <c r="I18" s="33"/>
      <c r="J18" s="43"/>
    </row>
    <row r="19" spans="1:9" ht="16.5" customHeight="1">
      <c r="A19" s="195" t="s">
        <v>24</v>
      </c>
      <c r="B19" s="195"/>
      <c r="C19" s="195"/>
      <c r="D19" s="195"/>
      <c r="E19" s="44">
        <f>E10+E18</f>
        <v>43.842642857142856</v>
      </c>
      <c r="F19" s="45">
        <f>F10+F18</f>
        <v>33.95147142857143</v>
      </c>
      <c r="G19" s="45">
        <f>G10+G18</f>
        <v>160.6368</v>
      </c>
      <c r="H19" s="46">
        <f>H10+H18</f>
        <v>1132.85</v>
      </c>
      <c r="I19" s="47"/>
    </row>
    <row r="20" spans="1:11" ht="16.5" customHeight="1">
      <c r="A20" s="183" t="s">
        <v>0</v>
      </c>
      <c r="B20" s="183"/>
      <c r="C20" s="183"/>
      <c r="D20" s="3"/>
      <c r="E20" s="48"/>
      <c r="F20" s="48"/>
      <c r="G20" s="48"/>
      <c r="H20" s="48"/>
      <c r="I20" s="48"/>
      <c r="K20" s="49"/>
    </row>
    <row r="21" spans="1:9" ht="16.5" customHeight="1">
      <c r="A21" s="184" t="s">
        <v>1</v>
      </c>
      <c r="B21" s="184"/>
      <c r="C21" s="184"/>
      <c r="D21" s="6"/>
      <c r="E21" s="50"/>
      <c r="F21" s="50"/>
      <c r="G21" s="50"/>
      <c r="H21" s="50"/>
      <c r="I21" s="50"/>
    </row>
    <row r="22" spans="1:9" ht="16.5" customHeight="1">
      <c r="A22" s="196" t="s">
        <v>25</v>
      </c>
      <c r="B22" s="196"/>
      <c r="C22" s="196"/>
      <c r="D22" s="196"/>
      <c r="E22" s="196"/>
      <c r="F22" s="196"/>
      <c r="G22" s="196"/>
      <c r="H22" s="196"/>
      <c r="I22" s="196"/>
    </row>
    <row r="23" spans="1:9" ht="14.25" customHeight="1">
      <c r="A23" s="197" t="s">
        <v>3</v>
      </c>
      <c r="B23" s="197"/>
      <c r="C23" s="197"/>
      <c r="D23" s="185" t="s">
        <v>4</v>
      </c>
      <c r="E23" s="198" t="s">
        <v>5</v>
      </c>
      <c r="F23" s="198"/>
      <c r="G23" s="198"/>
      <c r="H23" s="199" t="s">
        <v>6</v>
      </c>
      <c r="I23" s="185" t="s">
        <v>7</v>
      </c>
    </row>
    <row r="24" spans="1:9" ht="23.25" customHeight="1">
      <c r="A24" s="197"/>
      <c r="B24" s="197"/>
      <c r="C24" s="197"/>
      <c r="D24" s="185"/>
      <c r="E24" s="51" t="s">
        <v>8</v>
      </c>
      <c r="F24" s="52" t="s">
        <v>9</v>
      </c>
      <c r="G24" s="52" t="s">
        <v>10</v>
      </c>
      <c r="H24" s="199"/>
      <c r="I24" s="185"/>
    </row>
    <row r="25" spans="1:9" ht="16.5" customHeight="1">
      <c r="A25" s="189" t="s">
        <v>11</v>
      </c>
      <c r="B25" s="189"/>
      <c r="C25" s="189"/>
      <c r="D25" s="189"/>
      <c r="E25" s="189"/>
      <c r="F25" s="189"/>
      <c r="G25" s="189"/>
      <c r="H25" s="189"/>
      <c r="I25" s="189"/>
    </row>
    <row r="26" spans="1:248" ht="16.5" customHeight="1">
      <c r="A26" s="200" t="s">
        <v>26</v>
      </c>
      <c r="B26" s="200"/>
      <c r="C26" s="200"/>
      <c r="D26" s="11">
        <v>100</v>
      </c>
      <c r="E26" s="12">
        <v>9.75</v>
      </c>
      <c r="F26" s="13">
        <v>4.95</v>
      </c>
      <c r="G26" s="13">
        <v>3.8</v>
      </c>
      <c r="H26" s="14">
        <v>105</v>
      </c>
      <c r="I26" s="11">
        <v>229</v>
      </c>
      <c r="IJ26" s="27"/>
      <c r="IK26" s="27"/>
      <c r="IL26" s="27"/>
      <c r="IM26" s="27"/>
      <c r="IN26" s="27"/>
    </row>
    <row r="27" spans="1:9" ht="15" customHeight="1">
      <c r="A27" s="201" t="s">
        <v>27</v>
      </c>
      <c r="B27" s="201"/>
      <c r="C27" s="201"/>
      <c r="D27" s="16">
        <v>150</v>
      </c>
      <c r="E27" s="53">
        <f>20.43/1000*150</f>
        <v>3.0645000000000002</v>
      </c>
      <c r="F27" s="54">
        <f>32.01/1000*150</f>
        <v>4.8015</v>
      </c>
      <c r="G27" s="54">
        <f>136.26/1000*150</f>
        <v>20.439</v>
      </c>
      <c r="H27" s="42">
        <f>915/1000*150</f>
        <v>137.25</v>
      </c>
      <c r="I27" s="16">
        <v>312</v>
      </c>
    </row>
    <row r="28" spans="1:248" ht="15.75" customHeight="1">
      <c r="A28" s="201" t="s">
        <v>28</v>
      </c>
      <c r="B28" s="201"/>
      <c r="C28" s="201"/>
      <c r="D28" s="55" t="s">
        <v>29</v>
      </c>
      <c r="E28" s="53">
        <v>0.12</v>
      </c>
      <c r="F28" s="54">
        <v>0.02</v>
      </c>
      <c r="G28" s="54">
        <v>10.2</v>
      </c>
      <c r="H28" s="42">
        <v>41</v>
      </c>
      <c r="I28" s="20">
        <v>393</v>
      </c>
      <c r="IJ28" s="27"/>
      <c r="IK28" s="27"/>
      <c r="IL28" s="27"/>
      <c r="IM28" s="27"/>
      <c r="IN28" s="27"/>
    </row>
    <row r="29" spans="1:9" ht="15.75" customHeight="1">
      <c r="A29" s="202" t="s">
        <v>20</v>
      </c>
      <c r="B29" s="202"/>
      <c r="C29" s="202"/>
      <c r="D29" s="22">
        <v>40</v>
      </c>
      <c r="E29" s="56">
        <v>3.16</v>
      </c>
      <c r="F29" s="57">
        <v>0.4</v>
      </c>
      <c r="G29" s="57">
        <v>19.32</v>
      </c>
      <c r="H29" s="25">
        <v>94</v>
      </c>
      <c r="I29" s="26" t="s">
        <v>21</v>
      </c>
    </row>
    <row r="30" spans="1:9" ht="16.5" customHeight="1">
      <c r="A30" s="203" t="s">
        <v>15</v>
      </c>
      <c r="B30" s="203"/>
      <c r="C30" s="203"/>
      <c r="D30" s="29">
        <f>SUM(D26:D27)+D29+187</f>
        <v>477</v>
      </c>
      <c r="E30" s="30">
        <f>SUM(E26:E29)</f>
        <v>16.0945</v>
      </c>
      <c r="F30" s="31">
        <f>SUM(F26:F29)</f>
        <v>10.1715</v>
      </c>
      <c r="G30" s="31">
        <f>SUM(G26:G29)</f>
        <v>53.759</v>
      </c>
      <c r="H30" s="32">
        <f>SUM(H26:H29)</f>
        <v>377.25</v>
      </c>
      <c r="I30" s="33"/>
    </row>
    <row r="31" spans="1:9" ht="16.5" customHeight="1">
      <c r="A31" s="194" t="s">
        <v>16</v>
      </c>
      <c r="B31" s="194"/>
      <c r="C31" s="194"/>
      <c r="D31" s="194"/>
      <c r="E31" s="194"/>
      <c r="F31" s="194"/>
      <c r="G31" s="194"/>
      <c r="H31" s="194"/>
      <c r="I31" s="194"/>
    </row>
    <row r="32" spans="1:248" ht="16.5" customHeight="1">
      <c r="A32" s="204" t="s">
        <v>30</v>
      </c>
      <c r="B32" s="204"/>
      <c r="C32" s="204"/>
      <c r="D32" s="11">
        <v>250</v>
      </c>
      <c r="E32" s="58">
        <f>7.21/1000*250</f>
        <v>1.8025</v>
      </c>
      <c r="F32" s="59">
        <f>19.68/1000*250</f>
        <v>4.92</v>
      </c>
      <c r="G32" s="59">
        <f>43.73/1000*250</f>
        <v>10.9325</v>
      </c>
      <c r="H32" s="60">
        <f>415/1000*250</f>
        <v>103.75</v>
      </c>
      <c r="I32" s="15">
        <v>82</v>
      </c>
      <c r="J32" s="36"/>
      <c r="IJ32" s="27"/>
      <c r="IK32" s="27"/>
      <c r="IL32" s="27"/>
      <c r="IM32" s="27"/>
      <c r="IN32" s="27"/>
    </row>
    <row r="33" spans="1:248" ht="15.75" customHeight="1">
      <c r="A33" s="191" t="s">
        <v>31</v>
      </c>
      <c r="B33" s="191"/>
      <c r="C33" s="191"/>
      <c r="D33" s="16">
        <v>100</v>
      </c>
      <c r="E33" s="17">
        <f>8.45/80*100</f>
        <v>10.5625</v>
      </c>
      <c r="F33" s="18">
        <f>9.85/80*100</f>
        <v>12.3125</v>
      </c>
      <c r="G33" s="18">
        <f>10.36/80*100</f>
        <v>12.950000000000001</v>
      </c>
      <c r="H33" s="19">
        <f>164/80*100</f>
        <v>204.99999999999997</v>
      </c>
      <c r="I33" s="16">
        <v>294</v>
      </c>
      <c r="J33" s="36"/>
      <c r="IJ33" s="27"/>
      <c r="IK33" s="27"/>
      <c r="IL33" s="27"/>
      <c r="IM33" s="27"/>
      <c r="IN33" s="27"/>
    </row>
    <row r="34" spans="1:10" ht="16.5" customHeight="1">
      <c r="A34" s="191" t="s">
        <v>32</v>
      </c>
      <c r="B34" s="191"/>
      <c r="C34" s="191"/>
      <c r="D34" s="16">
        <v>180</v>
      </c>
      <c r="E34" s="17">
        <f>36.78/1000*180</f>
        <v>6.6204</v>
      </c>
      <c r="F34" s="18">
        <f>30.1/1000*180</f>
        <v>5.418</v>
      </c>
      <c r="G34" s="18">
        <f>176.3/1000*180</f>
        <v>31.734</v>
      </c>
      <c r="H34" s="61">
        <f>1123/1000*180</f>
        <v>202.14</v>
      </c>
      <c r="I34" s="20">
        <v>309</v>
      </c>
      <c r="J34" s="36"/>
    </row>
    <row r="35" spans="1:10" ht="15.75" customHeight="1">
      <c r="A35" s="191" t="s">
        <v>33</v>
      </c>
      <c r="B35" s="191"/>
      <c r="C35" s="191"/>
      <c r="D35" s="16">
        <v>30</v>
      </c>
      <c r="E35" s="17">
        <v>2.37</v>
      </c>
      <c r="F35" s="18">
        <v>0.30000000000000004</v>
      </c>
      <c r="G35" s="18">
        <v>14.49</v>
      </c>
      <c r="H35" s="42">
        <v>70.5</v>
      </c>
      <c r="I35" s="20" t="s">
        <v>21</v>
      </c>
      <c r="J35" s="36"/>
    </row>
    <row r="36" spans="1:10" ht="15" customHeight="1">
      <c r="A36" s="191" t="s">
        <v>22</v>
      </c>
      <c r="B36" s="191"/>
      <c r="C36" s="191"/>
      <c r="D36" s="16">
        <v>30</v>
      </c>
      <c r="E36" s="53">
        <v>1.98</v>
      </c>
      <c r="F36" s="54">
        <v>0.36</v>
      </c>
      <c r="G36" s="54">
        <v>10.02</v>
      </c>
      <c r="H36" s="42">
        <v>52.2</v>
      </c>
      <c r="I36" s="20" t="s">
        <v>21</v>
      </c>
      <c r="J36" s="36"/>
    </row>
    <row r="37" spans="1:243" s="27" customFormat="1" ht="15.75" customHeight="1">
      <c r="A37" s="205" t="s">
        <v>14</v>
      </c>
      <c r="B37" s="205"/>
      <c r="C37" s="205"/>
      <c r="D37" s="62">
        <v>180</v>
      </c>
      <c r="E37" s="63">
        <v>0.06</v>
      </c>
      <c r="F37" s="64">
        <v>0.02</v>
      </c>
      <c r="G37" s="64">
        <v>9.99</v>
      </c>
      <c r="H37" s="65">
        <v>40</v>
      </c>
      <c r="I37" s="66">
        <v>392</v>
      </c>
      <c r="J37" s="36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</row>
    <row r="38" spans="1:10" ht="16.5" customHeight="1">
      <c r="A38" s="195" t="s">
        <v>23</v>
      </c>
      <c r="B38" s="195"/>
      <c r="C38" s="195"/>
      <c r="D38" s="35">
        <f>SUM(D32:D37)</f>
        <v>770</v>
      </c>
      <c r="E38" s="67">
        <f>SUM(E32:E37)</f>
        <v>23.3954</v>
      </c>
      <c r="F38" s="67">
        <f>SUM(F32:F37)</f>
        <v>23.3305</v>
      </c>
      <c r="G38" s="67">
        <f>SUM(G32:G37)</f>
        <v>90.11649999999999</v>
      </c>
      <c r="H38" s="67">
        <f>SUM(H32:H37)</f>
        <v>673.59</v>
      </c>
      <c r="I38" s="68"/>
      <c r="J38" s="43"/>
    </row>
    <row r="39" spans="1:9" ht="16.5" customHeight="1">
      <c r="A39" s="203" t="s">
        <v>34</v>
      </c>
      <c r="B39" s="203"/>
      <c r="C39" s="203"/>
      <c r="D39" s="203"/>
      <c r="E39" s="69">
        <f>E30+E38</f>
        <v>39.4899</v>
      </c>
      <c r="F39" s="70">
        <f>F30+F38</f>
        <v>33.502</v>
      </c>
      <c r="G39" s="70">
        <f>G30+G38</f>
        <v>143.8755</v>
      </c>
      <c r="H39" s="71">
        <f>H30+H38</f>
        <v>1050.8400000000001</v>
      </c>
      <c r="I39" s="72"/>
    </row>
    <row r="40" spans="1:9" ht="16.5" customHeight="1">
      <c r="A40" s="183" t="s">
        <v>0</v>
      </c>
      <c r="B40" s="183"/>
      <c r="C40" s="183"/>
      <c r="D40" s="3"/>
      <c r="E40" s="48"/>
      <c r="F40" s="48"/>
      <c r="G40" s="48"/>
      <c r="H40" s="48"/>
      <c r="I40" s="48"/>
    </row>
    <row r="41" spans="1:9" ht="16.5" customHeight="1">
      <c r="A41" s="184" t="s">
        <v>1</v>
      </c>
      <c r="B41" s="184"/>
      <c r="C41" s="184"/>
      <c r="D41" s="6"/>
      <c r="E41" s="50"/>
      <c r="F41" s="50"/>
      <c r="G41" s="50"/>
      <c r="H41" s="50"/>
      <c r="I41" s="50"/>
    </row>
    <row r="42" spans="1:9" ht="16.5" customHeight="1">
      <c r="A42" s="185" t="s">
        <v>35</v>
      </c>
      <c r="B42" s="185"/>
      <c r="C42" s="185"/>
      <c r="D42" s="185"/>
      <c r="E42" s="185"/>
      <c r="F42" s="185"/>
      <c r="G42" s="185"/>
      <c r="H42" s="185"/>
      <c r="I42" s="185"/>
    </row>
    <row r="43" spans="1:9" ht="18.75" customHeight="1">
      <c r="A43" s="197" t="s">
        <v>3</v>
      </c>
      <c r="B43" s="197"/>
      <c r="C43" s="197"/>
      <c r="D43" s="185" t="s">
        <v>4</v>
      </c>
      <c r="E43" s="198" t="s">
        <v>5</v>
      </c>
      <c r="F43" s="198"/>
      <c r="G43" s="198"/>
      <c r="H43" s="199" t="s">
        <v>6</v>
      </c>
      <c r="I43" s="185" t="s">
        <v>7</v>
      </c>
    </row>
    <row r="44" spans="1:9" ht="28.5" customHeight="1">
      <c r="A44" s="197"/>
      <c r="B44" s="197"/>
      <c r="C44" s="197"/>
      <c r="D44" s="185"/>
      <c r="E44" s="51" t="s">
        <v>8</v>
      </c>
      <c r="F44" s="52" t="s">
        <v>9</v>
      </c>
      <c r="G44" s="52" t="s">
        <v>10</v>
      </c>
      <c r="H44" s="199"/>
      <c r="I44" s="185"/>
    </row>
    <row r="45" spans="1:9" ht="16.5" customHeight="1">
      <c r="A45" s="185" t="s">
        <v>11</v>
      </c>
      <c r="B45" s="185"/>
      <c r="C45" s="185"/>
      <c r="D45" s="185"/>
      <c r="E45" s="185"/>
      <c r="F45" s="185"/>
      <c r="G45" s="185"/>
      <c r="H45" s="185"/>
      <c r="I45" s="185"/>
    </row>
    <row r="46" spans="1:9" ht="16.5" customHeight="1">
      <c r="A46" s="204" t="s">
        <v>36</v>
      </c>
      <c r="B46" s="204"/>
      <c r="C46" s="204"/>
      <c r="D46" s="11">
        <v>210</v>
      </c>
      <c r="E46" s="73">
        <f>5.88642857142857/205*210</f>
        <v>6.0299999999999985</v>
      </c>
      <c r="F46" s="74">
        <f>10.46/205*210</f>
        <v>10.715121951219514</v>
      </c>
      <c r="G46" s="74">
        <f>31.61/205*210</f>
        <v>32.3809756097561</v>
      </c>
      <c r="H46" s="75">
        <f>245.02380952381/205*210</f>
        <v>251.0000000000005</v>
      </c>
      <c r="I46" s="15">
        <v>181</v>
      </c>
    </row>
    <row r="47" spans="1:248" ht="15.75" customHeight="1">
      <c r="A47" s="191" t="s">
        <v>37</v>
      </c>
      <c r="B47" s="191"/>
      <c r="C47" s="191"/>
      <c r="D47" s="16">
        <v>180</v>
      </c>
      <c r="E47" s="53">
        <v>2.85</v>
      </c>
      <c r="F47" s="54">
        <v>2.41</v>
      </c>
      <c r="G47" s="54">
        <v>14.36</v>
      </c>
      <c r="H47" s="42">
        <v>91</v>
      </c>
      <c r="I47" s="20">
        <v>395</v>
      </c>
      <c r="IJ47" s="27"/>
      <c r="IK47" s="27"/>
      <c r="IL47" s="27"/>
      <c r="IM47" s="27"/>
      <c r="IN47" s="27"/>
    </row>
    <row r="48" spans="1:10" ht="15.75" customHeight="1">
      <c r="A48" s="191" t="s">
        <v>20</v>
      </c>
      <c r="B48" s="191"/>
      <c r="C48" s="191"/>
      <c r="D48" s="16">
        <v>40</v>
      </c>
      <c r="E48" s="17">
        <v>3.16</v>
      </c>
      <c r="F48" s="18">
        <v>0.4</v>
      </c>
      <c r="G48" s="18">
        <v>19.32</v>
      </c>
      <c r="H48" s="42">
        <v>94</v>
      </c>
      <c r="I48" s="20" t="s">
        <v>21</v>
      </c>
      <c r="J48" s="36"/>
    </row>
    <row r="49" spans="1:248" ht="15.75" customHeight="1">
      <c r="A49" s="192" t="s">
        <v>38</v>
      </c>
      <c r="B49" s="192"/>
      <c r="C49" s="192"/>
      <c r="D49" s="22">
        <v>70</v>
      </c>
      <c r="E49" s="76">
        <v>8.37</v>
      </c>
      <c r="F49" s="77">
        <v>3.84</v>
      </c>
      <c r="G49" s="77">
        <v>29.235</v>
      </c>
      <c r="H49" s="78">
        <v>184.5</v>
      </c>
      <c r="I49" s="26">
        <v>406</v>
      </c>
      <c r="IJ49" s="27"/>
      <c r="IK49" s="27"/>
      <c r="IL49" s="27"/>
      <c r="IM49" s="27"/>
      <c r="IN49" s="27"/>
    </row>
    <row r="50" spans="1:243" ht="16.5" customHeight="1">
      <c r="A50" s="195" t="s">
        <v>15</v>
      </c>
      <c r="B50" s="195"/>
      <c r="C50" s="195"/>
      <c r="D50" s="35">
        <f>SUM(D46:D49)</f>
        <v>500</v>
      </c>
      <c r="E50" s="67">
        <f>SUM(E46:E49)</f>
        <v>20.409999999999997</v>
      </c>
      <c r="F50" s="67">
        <f>SUM(F46:F49)</f>
        <v>17.365121951219514</v>
      </c>
      <c r="G50" s="67">
        <f>SUM(G46:G49)</f>
        <v>95.2959756097561</v>
      </c>
      <c r="H50" s="67">
        <f>SUM(H46:H49)</f>
        <v>620.5000000000005</v>
      </c>
      <c r="I50" s="68"/>
      <c r="IA50" s="27"/>
      <c r="IB50" s="27"/>
      <c r="IC50" s="27"/>
      <c r="ID50" s="27"/>
      <c r="IE50" s="27"/>
      <c r="IF50" s="27"/>
      <c r="IG50" s="27"/>
      <c r="IH50" s="27"/>
      <c r="II50" s="27"/>
    </row>
    <row r="51" spans="1:243" ht="16.5" customHeight="1">
      <c r="A51" s="185" t="s">
        <v>16</v>
      </c>
      <c r="B51" s="185"/>
      <c r="C51" s="185"/>
      <c r="D51" s="185"/>
      <c r="E51" s="185"/>
      <c r="F51" s="185"/>
      <c r="G51" s="185"/>
      <c r="H51" s="185"/>
      <c r="I51" s="185"/>
      <c r="IA51" s="27"/>
      <c r="IB51" s="27"/>
      <c r="IC51" s="27"/>
      <c r="ID51" s="27"/>
      <c r="IE51" s="27"/>
      <c r="IF51" s="27"/>
      <c r="IG51" s="27"/>
      <c r="IH51" s="27"/>
      <c r="II51" s="27"/>
    </row>
    <row r="52" spans="1:248" ht="15.75" customHeight="1">
      <c r="A52" s="190" t="s">
        <v>39</v>
      </c>
      <c r="B52" s="190"/>
      <c r="C52" s="190"/>
      <c r="D52" s="79">
        <v>250</v>
      </c>
      <c r="E52" s="80">
        <f>7.89/1000*250</f>
        <v>1.9725</v>
      </c>
      <c r="F52" s="12">
        <f>10.85/1000*250</f>
        <v>2.7125</v>
      </c>
      <c r="G52" s="13">
        <f>48.45/1000*250</f>
        <v>12.1125</v>
      </c>
      <c r="H52" s="14">
        <f>343/1000*250</f>
        <v>85.75</v>
      </c>
      <c r="I52" s="15">
        <v>101</v>
      </c>
      <c r="J52" s="36"/>
      <c r="IJ52" s="27"/>
      <c r="IK52" s="27"/>
      <c r="IL52" s="27"/>
      <c r="IM52" s="27"/>
      <c r="IN52" s="27"/>
    </row>
    <row r="53" spans="1:243" ht="17.25" customHeight="1">
      <c r="A53" s="191" t="s">
        <v>40</v>
      </c>
      <c r="B53" s="191"/>
      <c r="C53" s="191"/>
      <c r="D53" s="16">
        <v>150</v>
      </c>
      <c r="E53" s="53">
        <v>4.35</v>
      </c>
      <c r="F53" s="54">
        <v>12</v>
      </c>
      <c r="G53" s="54">
        <v>33.21</v>
      </c>
      <c r="H53" s="42">
        <v>258.24</v>
      </c>
      <c r="I53" s="20">
        <v>139</v>
      </c>
      <c r="J53" s="36"/>
      <c r="IA53" s="27"/>
      <c r="IB53" s="27"/>
      <c r="IC53" s="27"/>
      <c r="ID53" s="27"/>
      <c r="IE53" s="27"/>
      <c r="IF53" s="27"/>
      <c r="IG53" s="27"/>
      <c r="IH53" s="27"/>
      <c r="II53" s="27"/>
    </row>
    <row r="54" spans="1:248" ht="15.75" customHeight="1">
      <c r="A54" s="191" t="s">
        <v>41</v>
      </c>
      <c r="B54" s="191"/>
      <c r="C54" s="191"/>
      <c r="D54" s="16">
        <v>80</v>
      </c>
      <c r="E54" s="17">
        <v>11.73</v>
      </c>
      <c r="F54" s="18">
        <v>12.91</v>
      </c>
      <c r="G54" s="18">
        <v>0.25</v>
      </c>
      <c r="H54" s="19">
        <v>164</v>
      </c>
      <c r="I54" s="16">
        <v>288</v>
      </c>
      <c r="J54" s="36"/>
      <c r="IJ54" s="27"/>
      <c r="IK54" s="27"/>
      <c r="IL54" s="27"/>
      <c r="IM54" s="27"/>
      <c r="IN54" s="27"/>
    </row>
    <row r="55" spans="1:243" ht="15.75" customHeight="1">
      <c r="A55" s="191" t="s">
        <v>33</v>
      </c>
      <c r="B55" s="191"/>
      <c r="C55" s="191"/>
      <c r="D55" s="16">
        <v>30</v>
      </c>
      <c r="E55" s="17">
        <v>2.37</v>
      </c>
      <c r="F55" s="18">
        <v>0.30000000000000004</v>
      </c>
      <c r="G55" s="18">
        <v>14.49</v>
      </c>
      <c r="H55" s="42">
        <v>70.5</v>
      </c>
      <c r="I55" s="20" t="s">
        <v>21</v>
      </c>
      <c r="J55" s="36"/>
      <c r="IA55" s="27"/>
      <c r="IB55" s="27"/>
      <c r="IC55" s="27"/>
      <c r="ID55" s="27"/>
      <c r="IE55" s="27"/>
      <c r="IF55" s="27"/>
      <c r="IG55" s="27"/>
      <c r="IH55" s="27"/>
      <c r="II55" s="27"/>
    </row>
    <row r="56" spans="1:248" ht="15.75" customHeight="1">
      <c r="A56" s="191" t="s">
        <v>22</v>
      </c>
      <c r="B56" s="191"/>
      <c r="C56" s="191"/>
      <c r="D56" s="16">
        <v>30</v>
      </c>
      <c r="E56" s="17">
        <v>1.98</v>
      </c>
      <c r="F56" s="18">
        <v>0.36</v>
      </c>
      <c r="G56" s="18">
        <v>10.02</v>
      </c>
      <c r="H56" s="19">
        <v>52.2</v>
      </c>
      <c r="I56" s="20" t="s">
        <v>21</v>
      </c>
      <c r="J56" s="36"/>
      <c r="IJ56" s="27"/>
      <c r="IK56" s="27"/>
      <c r="IL56" s="27"/>
      <c r="IM56" s="27"/>
      <c r="IN56" s="27"/>
    </row>
    <row r="57" spans="1:243" s="27" customFormat="1" ht="15.75" customHeight="1">
      <c r="A57" s="192" t="s">
        <v>14</v>
      </c>
      <c r="B57" s="192"/>
      <c r="C57" s="192"/>
      <c r="D57" s="22">
        <v>180</v>
      </c>
      <c r="E57" s="23">
        <v>0.06</v>
      </c>
      <c r="F57" s="24">
        <v>0.02</v>
      </c>
      <c r="G57" s="24">
        <v>9.99</v>
      </c>
      <c r="H57" s="25">
        <v>40</v>
      </c>
      <c r="I57" s="26">
        <v>392</v>
      </c>
      <c r="J57" s="36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</row>
    <row r="58" spans="1:243" ht="16.5" customHeight="1">
      <c r="A58" s="195" t="s">
        <v>23</v>
      </c>
      <c r="B58" s="195"/>
      <c r="C58" s="195"/>
      <c r="D58" s="35">
        <f>SUM(D52:D57)</f>
        <v>720</v>
      </c>
      <c r="E58" s="67">
        <f>SUM(E52:E57)</f>
        <v>22.462500000000002</v>
      </c>
      <c r="F58" s="67">
        <f>SUM(F52:F57)</f>
        <v>28.302500000000002</v>
      </c>
      <c r="G58" s="67">
        <f>SUM(G52:G57)</f>
        <v>80.0725</v>
      </c>
      <c r="H58" s="67">
        <f>SUM(H52:H57)</f>
        <v>670.69</v>
      </c>
      <c r="I58" s="68"/>
      <c r="J58" s="43"/>
      <c r="IA58" s="27"/>
      <c r="IB58" s="27"/>
      <c r="IC58" s="27"/>
      <c r="ID58" s="27"/>
      <c r="IE58" s="27"/>
      <c r="IF58" s="27"/>
      <c r="IG58" s="27"/>
      <c r="IH58" s="27"/>
      <c r="II58" s="27"/>
    </row>
    <row r="59" spans="1:243" ht="16.5" customHeight="1">
      <c r="A59" s="206" t="s">
        <v>24</v>
      </c>
      <c r="B59" s="206"/>
      <c r="C59" s="206"/>
      <c r="D59" s="206"/>
      <c r="E59" s="45">
        <f>E50+E58</f>
        <v>42.8725</v>
      </c>
      <c r="F59" s="45">
        <f>F50+F58</f>
        <v>45.667621951219516</v>
      </c>
      <c r="G59" s="45">
        <f>G50+G58</f>
        <v>175.3684756097561</v>
      </c>
      <c r="H59" s="45">
        <f>H50+H58</f>
        <v>1291.1900000000005</v>
      </c>
      <c r="I59" s="68"/>
      <c r="IA59" s="27"/>
      <c r="IB59" s="27"/>
      <c r="IC59" s="27"/>
      <c r="ID59" s="27"/>
      <c r="IE59" s="27"/>
      <c r="IF59" s="27"/>
      <c r="IG59" s="27"/>
      <c r="IH59" s="27"/>
      <c r="II59" s="27"/>
    </row>
    <row r="60" spans="1:9" ht="15.75" customHeight="1">
      <c r="A60" s="183" t="s">
        <v>0</v>
      </c>
      <c r="B60" s="183"/>
      <c r="C60" s="183"/>
      <c r="D60" s="3"/>
      <c r="E60" s="48"/>
      <c r="F60" s="48"/>
      <c r="G60" s="48"/>
      <c r="H60" s="48"/>
      <c r="I60" s="48"/>
    </row>
    <row r="61" spans="1:9" ht="16.5" customHeight="1">
      <c r="A61" s="184" t="s">
        <v>1</v>
      </c>
      <c r="B61" s="184"/>
      <c r="C61" s="184"/>
      <c r="D61" s="6"/>
      <c r="E61" s="50"/>
      <c r="F61" s="50"/>
      <c r="G61" s="50"/>
      <c r="H61" s="50"/>
      <c r="I61" s="50"/>
    </row>
    <row r="62" spans="1:9" ht="16.5" customHeight="1">
      <c r="A62" s="185" t="s">
        <v>42</v>
      </c>
      <c r="B62" s="185"/>
      <c r="C62" s="185"/>
      <c r="D62" s="185"/>
      <c r="E62" s="185"/>
      <c r="F62" s="185"/>
      <c r="G62" s="185"/>
      <c r="H62" s="185"/>
      <c r="I62" s="185"/>
    </row>
    <row r="63" spans="1:9" ht="21" customHeight="1">
      <c r="A63" s="197" t="s">
        <v>3</v>
      </c>
      <c r="B63" s="197"/>
      <c r="C63" s="197"/>
      <c r="D63" s="185" t="s">
        <v>4</v>
      </c>
      <c r="E63" s="198" t="s">
        <v>5</v>
      </c>
      <c r="F63" s="198"/>
      <c r="G63" s="198"/>
      <c r="H63" s="199" t="s">
        <v>6</v>
      </c>
      <c r="I63" s="185" t="s">
        <v>7</v>
      </c>
    </row>
    <row r="64" spans="1:9" ht="18.75" customHeight="1">
      <c r="A64" s="197"/>
      <c r="B64" s="197"/>
      <c r="C64" s="197"/>
      <c r="D64" s="185"/>
      <c r="E64" s="51" t="s">
        <v>8</v>
      </c>
      <c r="F64" s="52" t="s">
        <v>9</v>
      </c>
      <c r="G64" s="52" t="s">
        <v>10</v>
      </c>
      <c r="H64" s="199"/>
      <c r="I64" s="185"/>
    </row>
    <row r="65" spans="1:9" ht="18.75" customHeight="1">
      <c r="A65" s="185" t="s">
        <v>11</v>
      </c>
      <c r="B65" s="185"/>
      <c r="C65" s="185"/>
      <c r="D65" s="185"/>
      <c r="E65" s="185"/>
      <c r="F65" s="185"/>
      <c r="G65" s="185"/>
      <c r="H65" s="185"/>
      <c r="I65" s="185"/>
    </row>
    <row r="66" spans="1:9" ht="15.75" customHeight="1">
      <c r="A66" s="190" t="s">
        <v>43</v>
      </c>
      <c r="B66" s="190"/>
      <c r="C66" s="190"/>
      <c r="D66" s="11">
        <v>60</v>
      </c>
      <c r="E66" s="81">
        <v>1.0242</v>
      </c>
      <c r="F66" s="82">
        <v>3.0024</v>
      </c>
      <c r="G66" s="82">
        <v>5.0748</v>
      </c>
      <c r="H66" s="83">
        <v>51.42</v>
      </c>
      <c r="I66" s="11">
        <v>45</v>
      </c>
    </row>
    <row r="67" spans="1:9" ht="15.75" customHeight="1">
      <c r="A67" s="191" t="s">
        <v>44</v>
      </c>
      <c r="B67" s="191"/>
      <c r="C67" s="191"/>
      <c r="D67" s="16">
        <v>180</v>
      </c>
      <c r="E67" s="17">
        <v>15.204</v>
      </c>
      <c r="F67" s="84">
        <v>8.88</v>
      </c>
      <c r="G67" s="18">
        <v>32.808</v>
      </c>
      <c r="H67" s="19">
        <v>272.4</v>
      </c>
      <c r="I67" s="20">
        <v>291</v>
      </c>
    </row>
    <row r="68" spans="1:9" ht="15.75" customHeight="1">
      <c r="A68" s="191" t="s">
        <v>20</v>
      </c>
      <c r="B68" s="191"/>
      <c r="C68" s="191"/>
      <c r="D68" s="16">
        <v>40</v>
      </c>
      <c r="E68" s="17">
        <v>3.16</v>
      </c>
      <c r="F68" s="18">
        <v>0.4</v>
      </c>
      <c r="G68" s="18">
        <v>19.32</v>
      </c>
      <c r="H68" s="42">
        <v>94</v>
      </c>
      <c r="I68" s="20" t="s">
        <v>21</v>
      </c>
    </row>
    <row r="69" spans="1:248" ht="15.75" customHeight="1">
      <c r="A69" s="201" t="s">
        <v>28</v>
      </c>
      <c r="B69" s="201"/>
      <c r="C69" s="201"/>
      <c r="D69" s="55" t="s">
        <v>29</v>
      </c>
      <c r="E69" s="53">
        <v>0.12</v>
      </c>
      <c r="F69" s="54">
        <v>0.02</v>
      </c>
      <c r="G69" s="54">
        <v>10.2</v>
      </c>
      <c r="H69" s="42">
        <v>41</v>
      </c>
      <c r="I69" s="20">
        <v>393</v>
      </c>
      <c r="IJ69" s="27"/>
      <c r="IK69" s="27"/>
      <c r="IL69" s="27"/>
      <c r="IM69" s="27"/>
      <c r="IN69" s="27"/>
    </row>
    <row r="70" spans="1:10" s="91" customFormat="1" ht="16.5" customHeight="1">
      <c r="A70" s="207" t="s">
        <v>45</v>
      </c>
      <c r="B70" s="207"/>
      <c r="C70" s="207"/>
      <c r="D70" s="85">
        <v>50</v>
      </c>
      <c r="E70" s="86">
        <f>6.7/100*50</f>
        <v>3.35</v>
      </c>
      <c r="F70" s="87">
        <f>7.55/100*50</f>
        <v>3.775</v>
      </c>
      <c r="G70" s="88">
        <f>72.06/100*50</f>
        <v>36.03</v>
      </c>
      <c r="H70" s="89">
        <f>383/100*50</f>
        <v>191.5</v>
      </c>
      <c r="I70" s="90" t="s">
        <v>21</v>
      </c>
      <c r="J70" s="21"/>
    </row>
    <row r="71" spans="1:9" ht="17.25" customHeight="1">
      <c r="A71" s="195" t="s">
        <v>15</v>
      </c>
      <c r="B71" s="195"/>
      <c r="C71" s="195"/>
      <c r="D71" s="35">
        <f>(D66+D67+D68+D70+187)</f>
        <v>517</v>
      </c>
      <c r="E71" s="67">
        <f>SUM(E66:E70)</f>
        <v>22.858200000000004</v>
      </c>
      <c r="F71" s="67">
        <f>SUM(F66:F70)</f>
        <v>16.0774</v>
      </c>
      <c r="G71" s="67">
        <f>SUM(G66:G70)</f>
        <v>103.4328</v>
      </c>
      <c r="H71" s="67">
        <f>SUM(H66:H70)</f>
        <v>650.3199999999999</v>
      </c>
      <c r="I71" s="68"/>
    </row>
    <row r="72" spans="1:9" ht="16.5" customHeight="1">
      <c r="A72" s="185" t="s">
        <v>16</v>
      </c>
      <c r="B72" s="185"/>
      <c r="C72" s="185"/>
      <c r="D72" s="185"/>
      <c r="E72" s="185"/>
      <c r="F72" s="185"/>
      <c r="G72" s="185"/>
      <c r="H72" s="185"/>
      <c r="I72" s="185"/>
    </row>
    <row r="73" spans="1:248" ht="15.75" customHeight="1">
      <c r="A73" s="204" t="s">
        <v>46</v>
      </c>
      <c r="B73" s="204"/>
      <c r="C73" s="204"/>
      <c r="D73" s="92">
        <v>250</v>
      </c>
      <c r="E73" s="93">
        <f>21.95/1000*250</f>
        <v>5.4875</v>
      </c>
      <c r="F73" s="13">
        <f>21.08/1000*250</f>
        <v>5.27</v>
      </c>
      <c r="G73" s="13">
        <f>66.14/1000*250</f>
        <v>16.535</v>
      </c>
      <c r="H73" s="94">
        <f>593/1000*250</f>
        <v>148.25</v>
      </c>
      <c r="I73" s="95">
        <v>102</v>
      </c>
      <c r="J73" s="36"/>
      <c r="IJ73" s="27"/>
      <c r="IK73" s="27"/>
      <c r="IL73" s="27"/>
      <c r="IM73" s="27"/>
      <c r="IN73" s="27"/>
    </row>
    <row r="74" spans="1:234" s="27" customFormat="1" ht="15.75" customHeight="1">
      <c r="A74" s="191" t="s">
        <v>47</v>
      </c>
      <c r="B74" s="191"/>
      <c r="C74" s="191"/>
      <c r="D74" s="96">
        <v>180</v>
      </c>
      <c r="E74" s="97">
        <v>12.5</v>
      </c>
      <c r="F74" s="54">
        <v>11.17</v>
      </c>
      <c r="G74" s="54">
        <v>12.9</v>
      </c>
      <c r="H74" s="98">
        <v>202</v>
      </c>
      <c r="I74" s="99">
        <v>292</v>
      </c>
      <c r="J74" s="36"/>
      <c r="HR74" s="100"/>
      <c r="HS74" s="100"/>
      <c r="HT74" s="100"/>
      <c r="HU74" s="100"/>
      <c r="HV74" s="100"/>
      <c r="HW74" s="100"/>
      <c r="HX74" s="100"/>
      <c r="HY74" s="100"/>
      <c r="HZ74" s="100"/>
    </row>
    <row r="75" spans="1:243" ht="15.75" customHeight="1">
      <c r="A75" s="191" t="s">
        <v>48</v>
      </c>
      <c r="B75" s="191"/>
      <c r="C75" s="191"/>
      <c r="D75" s="101">
        <v>180</v>
      </c>
      <c r="E75" s="102">
        <f>2.25/1000*180</f>
        <v>0.40499999999999997</v>
      </c>
      <c r="F75" s="103">
        <f>0.5/1000*180</f>
        <v>0.09</v>
      </c>
      <c r="G75" s="103">
        <f>169.95/1000*180</f>
        <v>30.590999999999998</v>
      </c>
      <c r="H75" s="104">
        <f>706/1000*180</f>
        <v>127.08</v>
      </c>
      <c r="I75" s="105">
        <v>342</v>
      </c>
      <c r="J75" s="36"/>
      <c r="HR75" s="28"/>
      <c r="HS75" s="28"/>
      <c r="HT75" s="28"/>
      <c r="HU75" s="28"/>
      <c r="HV75" s="28"/>
      <c r="HW75" s="28"/>
      <c r="HX75" s="28"/>
      <c r="HY75" s="28"/>
      <c r="HZ75" s="28"/>
      <c r="IA75" s="28"/>
      <c r="IB75" s="28"/>
      <c r="IC75" s="28"/>
      <c r="ID75" s="28"/>
      <c r="IE75" s="28"/>
      <c r="IF75" s="28"/>
      <c r="IG75" s="28"/>
      <c r="IH75" s="28"/>
      <c r="II75" s="28"/>
    </row>
    <row r="76" spans="1:10" ht="15.75" customHeight="1">
      <c r="A76" s="191" t="s">
        <v>20</v>
      </c>
      <c r="B76" s="191"/>
      <c r="C76" s="191"/>
      <c r="D76" s="96">
        <v>40</v>
      </c>
      <c r="E76" s="37">
        <v>3.16</v>
      </c>
      <c r="F76" s="18">
        <v>0.4</v>
      </c>
      <c r="G76" s="18">
        <v>19.32</v>
      </c>
      <c r="H76" s="98">
        <v>94</v>
      </c>
      <c r="I76" s="99" t="s">
        <v>21</v>
      </c>
      <c r="J76" s="36"/>
    </row>
    <row r="77" spans="1:10" ht="16.5" customHeight="1">
      <c r="A77" s="205" t="s">
        <v>22</v>
      </c>
      <c r="B77" s="205"/>
      <c r="C77" s="205"/>
      <c r="D77" s="106">
        <v>30</v>
      </c>
      <c r="E77" s="107">
        <v>1.98</v>
      </c>
      <c r="F77" s="24">
        <v>0.36</v>
      </c>
      <c r="G77" s="24">
        <v>10.02</v>
      </c>
      <c r="H77" s="108">
        <v>52.2</v>
      </c>
      <c r="I77" s="109" t="s">
        <v>21</v>
      </c>
      <c r="J77" s="36"/>
    </row>
    <row r="78" spans="1:10" ht="15" customHeight="1">
      <c r="A78" s="195" t="s">
        <v>23</v>
      </c>
      <c r="B78" s="195"/>
      <c r="C78" s="195"/>
      <c r="D78" s="35">
        <f>SUM(D73:D77)</f>
        <v>680</v>
      </c>
      <c r="E78" s="110">
        <f>SUM(E73:E77)</f>
        <v>23.532500000000002</v>
      </c>
      <c r="F78" s="110">
        <f>SUM(F73:F77)</f>
        <v>17.289999999999996</v>
      </c>
      <c r="G78" s="110">
        <f>SUM(G73:G77)</f>
        <v>89.366</v>
      </c>
      <c r="H78" s="110">
        <f>SUM(H73:H77)</f>
        <v>623.53</v>
      </c>
      <c r="I78" s="68"/>
      <c r="J78" s="43"/>
    </row>
    <row r="79" spans="1:9" ht="16.5" customHeight="1">
      <c r="A79" s="208" t="s">
        <v>24</v>
      </c>
      <c r="B79" s="208"/>
      <c r="C79" s="208"/>
      <c r="D79" s="208"/>
      <c r="E79" s="45">
        <f>E71+E78</f>
        <v>46.39070000000001</v>
      </c>
      <c r="F79" s="45">
        <f>F71+F78</f>
        <v>33.367399999999996</v>
      </c>
      <c r="G79" s="45">
        <f>G71+G78</f>
        <v>192.7988</v>
      </c>
      <c r="H79" s="45">
        <f>H71+H78</f>
        <v>1273.85</v>
      </c>
      <c r="I79" s="33"/>
    </row>
    <row r="80" spans="1:9" ht="15.75" customHeight="1">
      <c r="A80" s="183" t="s">
        <v>0</v>
      </c>
      <c r="B80" s="183"/>
      <c r="C80" s="183"/>
      <c r="D80" s="3"/>
      <c r="E80" s="48"/>
      <c r="F80" s="48"/>
      <c r="G80" s="48"/>
      <c r="H80" s="48"/>
      <c r="I80" s="48"/>
    </row>
    <row r="81" spans="1:9" ht="16.5" customHeight="1">
      <c r="A81" s="184" t="s">
        <v>1</v>
      </c>
      <c r="B81" s="184"/>
      <c r="C81" s="184"/>
      <c r="D81" s="6"/>
      <c r="E81" s="50"/>
      <c r="F81" s="50"/>
      <c r="G81" s="50"/>
      <c r="H81" s="50"/>
      <c r="I81" s="50"/>
    </row>
    <row r="82" spans="1:10" ht="17.25" customHeight="1">
      <c r="A82" s="185" t="s">
        <v>49</v>
      </c>
      <c r="B82" s="185"/>
      <c r="C82" s="185"/>
      <c r="D82" s="185"/>
      <c r="E82" s="185"/>
      <c r="F82" s="185"/>
      <c r="G82" s="185"/>
      <c r="H82" s="185"/>
      <c r="I82" s="185"/>
      <c r="J82" s="111"/>
    </row>
    <row r="83" spans="1:10" ht="23.25" customHeight="1">
      <c r="A83" s="186" t="s">
        <v>3</v>
      </c>
      <c r="B83" s="186"/>
      <c r="C83" s="186"/>
      <c r="D83" s="185" t="s">
        <v>4</v>
      </c>
      <c r="E83" s="187" t="s">
        <v>5</v>
      </c>
      <c r="F83" s="187"/>
      <c r="G83" s="187"/>
      <c r="H83" s="188" t="s">
        <v>6</v>
      </c>
      <c r="I83" s="185" t="s">
        <v>7</v>
      </c>
      <c r="J83" s="111"/>
    </row>
    <row r="84" spans="1:243" ht="21" customHeight="1">
      <c r="A84" s="186"/>
      <c r="B84" s="186"/>
      <c r="C84" s="186"/>
      <c r="D84" s="185"/>
      <c r="E84" s="9" t="s">
        <v>8</v>
      </c>
      <c r="F84" s="10" t="s">
        <v>9</v>
      </c>
      <c r="G84" s="10" t="s">
        <v>10</v>
      </c>
      <c r="H84" s="188"/>
      <c r="I84" s="185"/>
      <c r="J84" s="111"/>
      <c r="IA84" s="27"/>
      <c r="IB84" s="27"/>
      <c r="IC84" s="27"/>
      <c r="ID84" s="27"/>
      <c r="IE84" s="27"/>
      <c r="IF84" s="27"/>
      <c r="IG84" s="27"/>
      <c r="IH84" s="27"/>
      <c r="II84" s="27"/>
    </row>
    <row r="85" spans="1:243" ht="15.75" customHeight="1">
      <c r="A85" s="185" t="s">
        <v>11</v>
      </c>
      <c r="B85" s="185"/>
      <c r="C85" s="185"/>
      <c r="D85" s="185"/>
      <c r="E85" s="185"/>
      <c r="F85" s="185"/>
      <c r="G85" s="185"/>
      <c r="H85" s="185"/>
      <c r="I85" s="185"/>
      <c r="J85" s="111"/>
      <c r="IA85" s="27"/>
      <c r="IB85" s="27"/>
      <c r="IC85" s="27"/>
      <c r="ID85" s="27"/>
      <c r="IE85" s="27"/>
      <c r="IF85" s="27"/>
      <c r="IG85" s="27"/>
      <c r="IH85" s="27"/>
      <c r="II85" s="27"/>
    </row>
    <row r="86" spans="1:243" ht="15.75" customHeight="1">
      <c r="A86" s="190" t="s">
        <v>50</v>
      </c>
      <c r="B86" s="190"/>
      <c r="C86" s="190"/>
      <c r="D86" s="11">
        <v>55</v>
      </c>
      <c r="E86" s="81">
        <f>8.5/55*75</f>
        <v>11.59090909090909</v>
      </c>
      <c r="F86" s="82">
        <f>12.1/55*75</f>
        <v>16.5</v>
      </c>
      <c r="G86" s="82">
        <f>7.16/55*75</f>
        <v>9.763636363636364</v>
      </c>
      <c r="H86" s="112">
        <f>164/55*75</f>
        <v>223.63636363636365</v>
      </c>
      <c r="I86" s="15">
        <v>268</v>
      </c>
      <c r="J86" s="111"/>
      <c r="IA86" s="27"/>
      <c r="IB86" s="27"/>
      <c r="IC86" s="27"/>
      <c r="ID86" s="27"/>
      <c r="IE86" s="27"/>
      <c r="IF86" s="27"/>
      <c r="IG86" s="27"/>
      <c r="IH86" s="27"/>
      <c r="II86" s="27"/>
    </row>
    <row r="87" spans="1:243" ht="15" customHeight="1">
      <c r="A87" s="191" t="s">
        <v>51</v>
      </c>
      <c r="B87" s="191"/>
      <c r="C87" s="191"/>
      <c r="D87" s="16">
        <v>155</v>
      </c>
      <c r="E87" s="17">
        <v>2.61285714285714</v>
      </c>
      <c r="F87" s="18">
        <v>16.2233333333333</v>
      </c>
      <c r="G87" s="18">
        <v>12.6952380952381</v>
      </c>
      <c r="H87" s="19">
        <v>209.619047619048</v>
      </c>
      <c r="I87" s="16">
        <v>143</v>
      </c>
      <c r="J87" s="111"/>
      <c r="IA87" s="27"/>
      <c r="IB87" s="27"/>
      <c r="IC87" s="27"/>
      <c r="ID87" s="27"/>
      <c r="IE87" s="27"/>
      <c r="IF87" s="27"/>
      <c r="IG87" s="27"/>
      <c r="IH87" s="27"/>
      <c r="II87" s="27"/>
    </row>
    <row r="88" spans="1:243" ht="15" customHeight="1">
      <c r="A88" s="191" t="s">
        <v>20</v>
      </c>
      <c r="B88" s="191"/>
      <c r="C88" s="191"/>
      <c r="D88" s="16">
        <v>40</v>
      </c>
      <c r="E88" s="17">
        <v>3.16</v>
      </c>
      <c r="F88" s="18">
        <v>0.4</v>
      </c>
      <c r="G88" s="18">
        <v>19.32</v>
      </c>
      <c r="H88" s="42">
        <v>94</v>
      </c>
      <c r="I88" s="20" t="s">
        <v>21</v>
      </c>
      <c r="J88" s="111"/>
      <c r="IA88" s="27"/>
      <c r="IB88" s="27"/>
      <c r="IC88" s="27"/>
      <c r="ID88" s="27"/>
      <c r="IE88" s="27"/>
      <c r="IF88" s="27"/>
      <c r="IG88" s="27"/>
      <c r="IH88" s="27"/>
      <c r="II88" s="27"/>
    </row>
    <row r="89" spans="1:243" s="27" customFormat="1" ht="15.75" customHeight="1">
      <c r="A89" s="192" t="s">
        <v>14</v>
      </c>
      <c r="B89" s="192"/>
      <c r="C89" s="192"/>
      <c r="D89" s="22">
        <v>180</v>
      </c>
      <c r="E89" s="23">
        <v>0.06</v>
      </c>
      <c r="F89" s="24">
        <v>0.02</v>
      </c>
      <c r="G89" s="24">
        <v>9.99</v>
      </c>
      <c r="H89" s="25">
        <v>40</v>
      </c>
      <c r="I89" s="26">
        <v>392</v>
      </c>
      <c r="J89" s="113"/>
      <c r="HR89" s="28"/>
      <c r="HS89" s="28"/>
      <c r="HT89" s="28"/>
      <c r="HU89" s="28"/>
      <c r="HV89" s="28"/>
      <c r="HW89" s="28"/>
      <c r="HX89" s="28"/>
      <c r="HY89" s="28"/>
      <c r="HZ89" s="28"/>
      <c r="IA89" s="28"/>
      <c r="IB89" s="28"/>
      <c r="IC89" s="28"/>
      <c r="ID89" s="28"/>
      <c r="IE89" s="28"/>
      <c r="IF89" s="28"/>
      <c r="IG89" s="28"/>
      <c r="IH89" s="28"/>
      <c r="II89" s="28"/>
    </row>
    <row r="90" spans="1:243" ht="16.5" customHeight="1">
      <c r="A90" s="195" t="s">
        <v>15</v>
      </c>
      <c r="B90" s="195"/>
      <c r="C90" s="195"/>
      <c r="D90" s="35">
        <f>SUM(D86:D89)</f>
        <v>430</v>
      </c>
      <c r="E90" s="67">
        <f>SUM(E86:E89)</f>
        <v>17.423766233766226</v>
      </c>
      <c r="F90" s="67">
        <f>SUM(F86:F89)</f>
        <v>33.1433333333333</v>
      </c>
      <c r="G90" s="67">
        <f>SUM(G86:G89)</f>
        <v>51.768874458874464</v>
      </c>
      <c r="H90" s="67">
        <f>SUM(H86:H89)</f>
        <v>567.2554112554117</v>
      </c>
      <c r="I90" s="33"/>
      <c r="J90" s="111"/>
      <c r="IA90" s="27"/>
      <c r="IB90" s="27"/>
      <c r="IC90" s="27"/>
      <c r="ID90" s="27"/>
      <c r="IE90" s="27"/>
      <c r="IF90" s="27"/>
      <c r="IG90" s="27"/>
      <c r="IH90" s="27"/>
      <c r="II90" s="27"/>
    </row>
    <row r="91" spans="1:243" ht="16.5" customHeight="1">
      <c r="A91" s="209" t="s">
        <v>16</v>
      </c>
      <c r="B91" s="209"/>
      <c r="C91" s="209"/>
      <c r="D91" s="209"/>
      <c r="E91" s="209"/>
      <c r="F91" s="209"/>
      <c r="G91" s="209"/>
      <c r="H91" s="209"/>
      <c r="I91" s="209"/>
      <c r="J91" s="111"/>
      <c r="IA91" s="27"/>
      <c r="IB91" s="27"/>
      <c r="IC91" s="27"/>
      <c r="ID91" s="27"/>
      <c r="IE91" s="27"/>
      <c r="IF91" s="27"/>
      <c r="IG91" s="27"/>
      <c r="IH91" s="27"/>
      <c r="II91" s="27"/>
    </row>
    <row r="92" spans="1:234" s="27" customFormat="1" ht="15.75" customHeight="1">
      <c r="A92" s="200" t="s">
        <v>52</v>
      </c>
      <c r="B92" s="200"/>
      <c r="C92" s="200"/>
      <c r="D92" s="11">
        <v>250</v>
      </c>
      <c r="E92" s="12">
        <f>9.37/1000*250</f>
        <v>2.3425</v>
      </c>
      <c r="F92" s="13">
        <f>11.31/1000*250</f>
        <v>2.8275</v>
      </c>
      <c r="G92" s="13">
        <f>67.48/1000*250</f>
        <v>16.87</v>
      </c>
      <c r="H92" s="14">
        <f>456/1000*250</f>
        <v>114</v>
      </c>
      <c r="I92" s="15">
        <v>97</v>
      </c>
      <c r="J92" s="114"/>
      <c r="HR92" s="1"/>
      <c r="HS92" s="1"/>
      <c r="HT92" s="1"/>
      <c r="HU92" s="1"/>
      <c r="HV92" s="1"/>
      <c r="HW92" s="1"/>
      <c r="HX92" s="1"/>
      <c r="HY92" s="1"/>
      <c r="HZ92" s="1"/>
    </row>
    <row r="93" spans="1:243" ht="15.75" customHeight="1">
      <c r="A93" s="191" t="s">
        <v>26</v>
      </c>
      <c r="B93" s="191"/>
      <c r="C93" s="191"/>
      <c r="D93" s="16">
        <v>90</v>
      </c>
      <c r="E93" s="53">
        <v>9.75</v>
      </c>
      <c r="F93" s="54">
        <v>4.95</v>
      </c>
      <c r="G93" s="54">
        <v>3.8</v>
      </c>
      <c r="H93" s="42">
        <v>105</v>
      </c>
      <c r="I93" s="16">
        <v>229</v>
      </c>
      <c r="J93" s="114"/>
      <c r="IA93" s="27"/>
      <c r="IB93" s="27"/>
      <c r="IC93" s="27"/>
      <c r="ID93" s="27"/>
      <c r="IE93" s="27"/>
      <c r="IF93" s="27"/>
      <c r="IG93" s="27"/>
      <c r="IH93" s="27"/>
      <c r="II93" s="27"/>
    </row>
    <row r="94" spans="1:243" ht="15.75" customHeight="1">
      <c r="A94" s="191" t="s">
        <v>18</v>
      </c>
      <c r="B94" s="191"/>
      <c r="C94" s="191"/>
      <c r="D94" s="16">
        <v>180</v>
      </c>
      <c r="E94" s="17">
        <f>24.03/1000*180</f>
        <v>4.3254</v>
      </c>
      <c r="F94" s="18">
        <f>28.84/1000*180</f>
        <v>5.1912</v>
      </c>
      <c r="G94" s="18">
        <f>250.23/1000*180</f>
        <v>45.0414</v>
      </c>
      <c r="H94" s="61">
        <v>203.55</v>
      </c>
      <c r="I94" s="16">
        <v>302</v>
      </c>
      <c r="J94" s="114"/>
      <c r="IA94" s="27"/>
      <c r="IB94" s="27"/>
      <c r="IC94" s="27"/>
      <c r="ID94" s="27"/>
      <c r="IE94" s="27"/>
      <c r="IF94" s="27"/>
      <c r="IG94" s="27"/>
      <c r="IH94" s="27"/>
      <c r="II94" s="27"/>
    </row>
    <row r="95" spans="1:248" s="27" customFormat="1" ht="15.75" customHeight="1">
      <c r="A95" s="210" t="s">
        <v>53</v>
      </c>
      <c r="B95" s="210"/>
      <c r="C95" s="210"/>
      <c r="D95" s="115">
        <v>180</v>
      </c>
      <c r="E95" s="116">
        <f>1.73/1000*180</f>
        <v>0.3114</v>
      </c>
      <c r="F95" s="103">
        <f>0.45/1000*180</f>
        <v>0.081</v>
      </c>
      <c r="G95" s="103">
        <f>146.85/1000*180</f>
        <v>26.432999999999996</v>
      </c>
      <c r="H95" s="117">
        <f>602/1000*180</f>
        <v>108.36</v>
      </c>
      <c r="I95" s="118">
        <v>376</v>
      </c>
      <c r="J95" s="114"/>
      <c r="HX95" s="28"/>
      <c r="HY95" s="28"/>
      <c r="HZ95" s="28"/>
      <c r="IA95" s="28"/>
      <c r="IB95" s="28"/>
      <c r="IC95" s="28"/>
      <c r="ID95" s="28"/>
      <c r="IE95" s="28"/>
      <c r="IF95" s="28"/>
      <c r="IG95" s="28"/>
      <c r="IH95" s="28"/>
      <c r="II95" s="28"/>
      <c r="IJ95" s="28"/>
      <c r="IK95" s="28"/>
      <c r="IL95" s="28"/>
      <c r="IM95" s="28"/>
      <c r="IN95" s="28"/>
    </row>
    <row r="96" spans="1:243" ht="15.75" customHeight="1">
      <c r="A96" s="191" t="s">
        <v>33</v>
      </c>
      <c r="B96" s="191"/>
      <c r="C96" s="191"/>
      <c r="D96" s="16">
        <v>40</v>
      </c>
      <c r="E96" s="17">
        <v>3.16</v>
      </c>
      <c r="F96" s="18">
        <v>0.4</v>
      </c>
      <c r="G96" s="18">
        <v>19.32</v>
      </c>
      <c r="H96" s="42">
        <v>94</v>
      </c>
      <c r="I96" s="20" t="s">
        <v>21</v>
      </c>
      <c r="J96" s="114"/>
      <c r="IA96" s="27"/>
      <c r="IB96" s="27"/>
      <c r="IC96" s="27"/>
      <c r="ID96" s="27"/>
      <c r="IE96" s="27"/>
      <c r="IF96" s="27"/>
      <c r="IG96" s="27"/>
      <c r="IH96" s="27"/>
      <c r="II96" s="27"/>
    </row>
    <row r="97" spans="1:243" ht="16.5" customHeight="1">
      <c r="A97" s="192" t="s">
        <v>22</v>
      </c>
      <c r="B97" s="192"/>
      <c r="C97" s="192"/>
      <c r="D97" s="22">
        <v>30</v>
      </c>
      <c r="E97" s="23">
        <v>1.98</v>
      </c>
      <c r="F97" s="24">
        <v>0.36</v>
      </c>
      <c r="G97" s="24">
        <v>10.02</v>
      </c>
      <c r="H97" s="25">
        <v>52.2</v>
      </c>
      <c r="I97" s="26" t="s">
        <v>21</v>
      </c>
      <c r="J97" s="114"/>
      <c r="IA97" s="27"/>
      <c r="IB97" s="27"/>
      <c r="IC97" s="27"/>
      <c r="ID97" s="27"/>
      <c r="IE97" s="27"/>
      <c r="IF97" s="27"/>
      <c r="IG97" s="27"/>
      <c r="IH97" s="27"/>
      <c r="II97" s="27"/>
    </row>
    <row r="98" spans="1:10" ht="16.5" customHeight="1">
      <c r="A98" s="211" t="s">
        <v>23</v>
      </c>
      <c r="B98" s="211"/>
      <c r="C98" s="211"/>
      <c r="D98" s="119">
        <f>SUM(D92:D97)</f>
        <v>770</v>
      </c>
      <c r="E98" s="69">
        <f>SUM(E92:E97)</f>
        <v>21.8693</v>
      </c>
      <c r="F98" s="110">
        <f>SUM(F92:F97)</f>
        <v>13.8097</v>
      </c>
      <c r="G98" s="110">
        <f>SUM(G92:G97)</f>
        <v>121.48439999999998</v>
      </c>
      <c r="H98" s="120">
        <f>SUM(H92:H97)</f>
        <v>677.11</v>
      </c>
      <c r="I98" s="120"/>
      <c r="J98" s="121"/>
    </row>
    <row r="99" spans="1:10" ht="17.25" customHeight="1">
      <c r="A99" s="203" t="s">
        <v>54</v>
      </c>
      <c r="B99" s="203"/>
      <c r="C99" s="203"/>
      <c r="D99" s="203"/>
      <c r="E99" s="69">
        <f>E90+E98</f>
        <v>39.293066233766226</v>
      </c>
      <c r="F99" s="70">
        <f>F90+F98</f>
        <v>46.9530333333333</v>
      </c>
      <c r="G99" s="70">
        <f>G90+G98</f>
        <v>173.25327445887444</v>
      </c>
      <c r="H99" s="71">
        <f>H90+H98</f>
        <v>1244.3654112554118</v>
      </c>
      <c r="I99" s="47"/>
      <c r="J99" s="122"/>
    </row>
    <row r="100" spans="1:9" ht="15.75" customHeight="1">
      <c r="A100" s="183" t="s">
        <v>55</v>
      </c>
      <c r="B100" s="183"/>
      <c r="C100" s="183"/>
      <c r="D100" s="123"/>
      <c r="E100" s="48"/>
      <c r="F100" s="48"/>
      <c r="G100" s="48"/>
      <c r="H100" s="48"/>
      <c r="I100" s="48"/>
    </row>
    <row r="101" spans="1:9" ht="16.5" customHeight="1">
      <c r="A101" s="184" t="s">
        <v>1</v>
      </c>
      <c r="B101" s="184"/>
      <c r="C101" s="184"/>
      <c r="D101" s="10"/>
      <c r="E101" s="50"/>
      <c r="F101" s="50"/>
      <c r="G101" s="50"/>
      <c r="H101" s="50"/>
      <c r="I101" s="50"/>
    </row>
    <row r="102" spans="1:10" ht="18" customHeight="1">
      <c r="A102" s="185" t="s">
        <v>56</v>
      </c>
      <c r="B102" s="185"/>
      <c r="C102" s="185"/>
      <c r="D102" s="185"/>
      <c r="E102" s="185"/>
      <c r="F102" s="185"/>
      <c r="G102" s="185"/>
      <c r="H102" s="185"/>
      <c r="I102" s="185"/>
      <c r="J102" s="111"/>
    </row>
    <row r="103" spans="1:10" ht="18.75" customHeight="1">
      <c r="A103" s="197" t="s">
        <v>3</v>
      </c>
      <c r="B103" s="197"/>
      <c r="C103" s="197"/>
      <c r="D103" s="185" t="s">
        <v>4</v>
      </c>
      <c r="E103" s="198" t="s">
        <v>5</v>
      </c>
      <c r="F103" s="198"/>
      <c r="G103" s="198"/>
      <c r="H103" s="199" t="s">
        <v>6</v>
      </c>
      <c r="I103" s="185" t="s">
        <v>7</v>
      </c>
      <c r="J103" s="111"/>
    </row>
    <row r="104" spans="1:10" ht="21.75" customHeight="1">
      <c r="A104" s="197"/>
      <c r="B104" s="197"/>
      <c r="C104" s="197"/>
      <c r="D104" s="185"/>
      <c r="E104" s="51" t="s">
        <v>8</v>
      </c>
      <c r="F104" s="52" t="s">
        <v>9</v>
      </c>
      <c r="G104" s="52" t="s">
        <v>10</v>
      </c>
      <c r="H104" s="199"/>
      <c r="I104" s="185"/>
      <c r="J104" s="111"/>
    </row>
    <row r="105" spans="1:10" ht="16.5" customHeight="1">
      <c r="A105" s="212" t="s">
        <v>11</v>
      </c>
      <c r="B105" s="212"/>
      <c r="C105" s="212"/>
      <c r="D105" s="212"/>
      <c r="E105" s="212"/>
      <c r="F105" s="212"/>
      <c r="G105" s="212"/>
      <c r="H105" s="212"/>
      <c r="I105" s="212"/>
      <c r="J105" s="111"/>
    </row>
    <row r="106" spans="1:248" ht="15.75" customHeight="1">
      <c r="A106" s="213" t="s">
        <v>57</v>
      </c>
      <c r="B106" s="213"/>
      <c r="C106" s="213"/>
      <c r="D106" s="124">
        <v>50</v>
      </c>
      <c r="E106" s="12">
        <f>0.72/60*50</f>
        <v>0.6</v>
      </c>
      <c r="F106" s="13">
        <f>2.83/60*50</f>
        <v>2.3583333333333334</v>
      </c>
      <c r="G106" s="13">
        <f>4.63/60*50</f>
        <v>3.858333333333333</v>
      </c>
      <c r="H106" s="14">
        <f>46.8/60*50</f>
        <v>38.99999999999999</v>
      </c>
      <c r="I106" s="11" t="s">
        <v>21</v>
      </c>
      <c r="J106" s="111"/>
      <c r="IJ106" s="27"/>
      <c r="IK106" s="27"/>
      <c r="IL106" s="27"/>
      <c r="IM106" s="27"/>
      <c r="IN106" s="27"/>
    </row>
    <row r="107" spans="1:10" ht="15.75" customHeight="1">
      <c r="A107" s="214" t="s">
        <v>58</v>
      </c>
      <c r="B107" s="214"/>
      <c r="C107" s="214"/>
      <c r="D107" s="125">
        <v>150</v>
      </c>
      <c r="E107" s="17">
        <f>5.39/50*150</f>
        <v>16.169999999999998</v>
      </c>
      <c r="F107" s="18">
        <f>9.6/50*150</f>
        <v>28.8</v>
      </c>
      <c r="G107" s="18">
        <f>1.02/50*150</f>
        <v>3.06</v>
      </c>
      <c r="H107" s="19">
        <f>112/50*150</f>
        <v>336.00000000000006</v>
      </c>
      <c r="I107" s="20">
        <v>210</v>
      </c>
      <c r="J107" s="111"/>
    </row>
    <row r="108" spans="1:248" ht="15.75" customHeight="1">
      <c r="A108" s="215" t="s">
        <v>20</v>
      </c>
      <c r="B108" s="215"/>
      <c r="C108" s="215"/>
      <c r="D108" s="125">
        <v>50</v>
      </c>
      <c r="E108" s="17">
        <v>3.95</v>
      </c>
      <c r="F108" s="18">
        <v>0.5</v>
      </c>
      <c r="G108" s="18">
        <v>24.15</v>
      </c>
      <c r="H108" s="42">
        <v>117.5</v>
      </c>
      <c r="I108" s="20" t="s">
        <v>21</v>
      </c>
      <c r="J108" s="114"/>
      <c r="K108" s="91"/>
      <c r="IJ108" s="27"/>
      <c r="IK108" s="27"/>
      <c r="IL108" s="27"/>
      <c r="IM108" s="27"/>
      <c r="IN108" s="27"/>
    </row>
    <row r="109" spans="1:248" s="27" customFormat="1" ht="15.75" customHeight="1">
      <c r="A109" s="216" t="s">
        <v>14</v>
      </c>
      <c r="B109" s="216"/>
      <c r="C109" s="216"/>
      <c r="D109" s="126">
        <v>180</v>
      </c>
      <c r="E109" s="23">
        <v>0.06</v>
      </c>
      <c r="F109" s="24">
        <v>0.02</v>
      </c>
      <c r="G109" s="24">
        <v>9.99</v>
      </c>
      <c r="H109" s="25">
        <v>40</v>
      </c>
      <c r="I109" s="26">
        <v>392</v>
      </c>
      <c r="J109" s="113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</row>
    <row r="110" spans="1:10" ht="16.5" customHeight="1">
      <c r="A110" s="203" t="s">
        <v>15</v>
      </c>
      <c r="B110" s="203"/>
      <c r="C110" s="203"/>
      <c r="D110" s="35">
        <f>SUM(D106:D109)</f>
        <v>430</v>
      </c>
      <c r="E110" s="110">
        <f>SUM(E106:E109)</f>
        <v>20.779999999999998</v>
      </c>
      <c r="F110" s="110">
        <f>SUM(F106:F109)</f>
        <v>31.678333333333335</v>
      </c>
      <c r="G110" s="110">
        <f>SUM(G106:G109)</f>
        <v>41.05833333333333</v>
      </c>
      <c r="H110" s="110">
        <f>SUM(H106:H109)</f>
        <v>532.5</v>
      </c>
      <c r="I110" s="33"/>
      <c r="J110" s="127"/>
    </row>
    <row r="111" spans="1:10" ht="16.5" customHeight="1">
      <c r="A111" s="185" t="s">
        <v>16</v>
      </c>
      <c r="B111" s="185"/>
      <c r="C111" s="185"/>
      <c r="D111" s="185"/>
      <c r="E111" s="185"/>
      <c r="F111" s="185"/>
      <c r="G111" s="185"/>
      <c r="H111" s="185"/>
      <c r="I111" s="185"/>
      <c r="J111" s="127"/>
    </row>
    <row r="112" spans="1:248" ht="15.75" customHeight="1">
      <c r="A112" s="190" t="s">
        <v>59</v>
      </c>
      <c r="B112" s="190"/>
      <c r="C112" s="190"/>
      <c r="D112" s="11">
        <v>250</v>
      </c>
      <c r="E112" s="12">
        <f>6.35/1000*250</f>
        <v>1.5875</v>
      </c>
      <c r="F112" s="13">
        <f>19.95/1000*250</f>
        <v>4.9875</v>
      </c>
      <c r="G112" s="13">
        <f>36.59/1000*250</f>
        <v>9.1475</v>
      </c>
      <c r="H112" s="14">
        <f>381/1000*250</f>
        <v>95.25</v>
      </c>
      <c r="I112" s="15">
        <v>99</v>
      </c>
      <c r="J112" s="114"/>
      <c r="IJ112" s="27"/>
      <c r="IK112" s="27"/>
      <c r="IL112" s="27"/>
      <c r="IM112" s="27"/>
      <c r="IN112" s="27"/>
    </row>
    <row r="113" spans="1:10" ht="15.75" customHeight="1">
      <c r="A113" s="191" t="s">
        <v>32</v>
      </c>
      <c r="B113" s="191"/>
      <c r="C113" s="191"/>
      <c r="D113" s="16">
        <v>180</v>
      </c>
      <c r="E113" s="17">
        <f>36.78/1000*180</f>
        <v>6.6204</v>
      </c>
      <c r="F113" s="18">
        <f>30.1/1000*180</f>
        <v>5.418</v>
      </c>
      <c r="G113" s="18">
        <f>176.3/1000*180</f>
        <v>31.734</v>
      </c>
      <c r="H113" s="61">
        <f>1123/1000*180</f>
        <v>202.14</v>
      </c>
      <c r="I113" s="20">
        <v>309</v>
      </c>
      <c r="J113" s="114"/>
    </row>
    <row r="114" spans="1:248" ht="15.75" customHeight="1">
      <c r="A114" s="191" t="s">
        <v>31</v>
      </c>
      <c r="B114" s="191"/>
      <c r="C114" s="191"/>
      <c r="D114" s="16">
        <v>100</v>
      </c>
      <c r="E114" s="17">
        <f>8.45/80*100</f>
        <v>10.5625</v>
      </c>
      <c r="F114" s="18">
        <f>9.85/80*100</f>
        <v>12.3125</v>
      </c>
      <c r="G114" s="18">
        <f>10.36/80*100</f>
        <v>12.950000000000001</v>
      </c>
      <c r="H114" s="19">
        <f>164/80*100</f>
        <v>204.99999999999997</v>
      </c>
      <c r="I114" s="16">
        <v>294</v>
      </c>
      <c r="J114" s="114"/>
      <c r="IJ114" s="27"/>
      <c r="IK114" s="27"/>
      <c r="IL114" s="27"/>
      <c r="IM114" s="27"/>
      <c r="IN114" s="27"/>
    </row>
    <row r="115" spans="1:243" ht="15.75" customHeight="1">
      <c r="A115" s="191" t="s">
        <v>48</v>
      </c>
      <c r="B115" s="191"/>
      <c r="C115" s="191"/>
      <c r="D115" s="115">
        <v>180</v>
      </c>
      <c r="E115" s="116">
        <f>2.25/1000*180</f>
        <v>0.40499999999999997</v>
      </c>
      <c r="F115" s="103">
        <f>0.5/1000*180</f>
        <v>0.09</v>
      </c>
      <c r="G115" s="103">
        <f>169.95/1000*180</f>
        <v>30.590999999999998</v>
      </c>
      <c r="H115" s="128">
        <f>706/1000*180</f>
        <v>127.08</v>
      </c>
      <c r="I115" s="118">
        <v>342</v>
      </c>
      <c r="J115" s="114"/>
      <c r="HR115" s="28"/>
      <c r="HS115" s="28"/>
      <c r="HT115" s="28"/>
      <c r="HU115" s="28"/>
      <c r="HV115" s="28"/>
      <c r="HW115" s="28"/>
      <c r="HX115" s="28"/>
      <c r="HY115" s="28"/>
      <c r="HZ115" s="28"/>
      <c r="IA115" s="28"/>
      <c r="IB115" s="28"/>
      <c r="IC115" s="28"/>
      <c r="ID115" s="28"/>
      <c r="IE115" s="28"/>
      <c r="IF115" s="28"/>
      <c r="IG115" s="28"/>
      <c r="IH115" s="28"/>
      <c r="II115" s="28"/>
    </row>
    <row r="116" spans="1:10" ht="15.75" customHeight="1">
      <c r="A116" s="191" t="s">
        <v>33</v>
      </c>
      <c r="B116" s="191"/>
      <c r="C116" s="191"/>
      <c r="D116" s="16">
        <v>30</v>
      </c>
      <c r="E116" s="17">
        <v>2.37</v>
      </c>
      <c r="F116" s="18">
        <v>0.30000000000000004</v>
      </c>
      <c r="G116" s="18">
        <v>14.49</v>
      </c>
      <c r="H116" s="42">
        <v>70.5</v>
      </c>
      <c r="I116" s="20" t="s">
        <v>21</v>
      </c>
      <c r="J116" s="114"/>
    </row>
    <row r="117" spans="1:10" ht="16.5" customHeight="1">
      <c r="A117" s="205" t="s">
        <v>22</v>
      </c>
      <c r="B117" s="205"/>
      <c r="C117" s="205"/>
      <c r="D117" s="62">
        <v>30</v>
      </c>
      <c r="E117" s="63">
        <v>1.98</v>
      </c>
      <c r="F117" s="64">
        <v>0.36</v>
      </c>
      <c r="G117" s="64">
        <v>10.02</v>
      </c>
      <c r="H117" s="65">
        <v>52.2</v>
      </c>
      <c r="I117" s="129" t="s">
        <v>21</v>
      </c>
      <c r="J117" s="114"/>
    </row>
    <row r="118" spans="1:10" ht="16.5" customHeight="1">
      <c r="A118" s="195" t="s">
        <v>23</v>
      </c>
      <c r="B118" s="195"/>
      <c r="C118" s="195"/>
      <c r="D118" s="130">
        <f>SUM(D112:D117)</f>
        <v>770</v>
      </c>
      <c r="E118" s="44">
        <f>SUM(E112:E117)</f>
        <v>23.525400000000005</v>
      </c>
      <c r="F118" s="67">
        <f>SUM(F112:F117)</f>
        <v>23.468</v>
      </c>
      <c r="G118" s="67">
        <f>SUM(G112:G117)</f>
        <v>108.93249999999999</v>
      </c>
      <c r="H118" s="47">
        <f>SUM(H112:H117)</f>
        <v>752.1700000000001</v>
      </c>
      <c r="I118" s="47"/>
      <c r="J118" s="121"/>
    </row>
    <row r="119" spans="1:10" ht="16.5" customHeight="1">
      <c r="A119" s="195" t="s">
        <v>24</v>
      </c>
      <c r="B119" s="195"/>
      <c r="C119" s="195"/>
      <c r="D119" s="195"/>
      <c r="E119" s="44">
        <f>E110+E118</f>
        <v>44.305400000000006</v>
      </c>
      <c r="F119" s="45">
        <f>F110+F118</f>
        <v>55.14633333333333</v>
      </c>
      <c r="G119" s="45">
        <f>G110+G118</f>
        <v>149.9908333333333</v>
      </c>
      <c r="H119" s="46">
        <f>H110+H118</f>
        <v>1284.67</v>
      </c>
      <c r="I119" s="47"/>
      <c r="J119" s="111"/>
    </row>
    <row r="120" spans="1:9" ht="15.75" customHeight="1">
      <c r="A120" s="183" t="s">
        <v>55</v>
      </c>
      <c r="B120" s="183"/>
      <c r="C120" s="183"/>
      <c r="D120" s="123"/>
      <c r="E120" s="48"/>
      <c r="F120" s="48"/>
      <c r="G120" s="48"/>
      <c r="H120" s="48"/>
      <c r="I120" s="48"/>
    </row>
    <row r="121" spans="1:9" ht="16.5" customHeight="1">
      <c r="A121" s="184" t="s">
        <v>1</v>
      </c>
      <c r="B121" s="184"/>
      <c r="C121" s="184"/>
      <c r="D121" s="10"/>
      <c r="E121" s="50"/>
      <c r="F121" s="50"/>
      <c r="G121" s="50"/>
      <c r="H121" s="50"/>
      <c r="I121" s="50"/>
    </row>
    <row r="122" spans="1:10" ht="18" customHeight="1">
      <c r="A122" s="185" t="s">
        <v>60</v>
      </c>
      <c r="B122" s="185"/>
      <c r="C122" s="185"/>
      <c r="D122" s="185"/>
      <c r="E122" s="185"/>
      <c r="F122" s="185"/>
      <c r="G122" s="185"/>
      <c r="H122" s="185"/>
      <c r="I122" s="185"/>
      <c r="J122" s="111"/>
    </row>
    <row r="123" spans="1:10" ht="19.5" customHeight="1">
      <c r="A123" s="217" t="s">
        <v>3</v>
      </c>
      <c r="B123" s="217"/>
      <c r="C123" s="217"/>
      <c r="D123" s="185" t="s">
        <v>4</v>
      </c>
      <c r="E123" s="198" t="s">
        <v>5</v>
      </c>
      <c r="F123" s="198"/>
      <c r="G123" s="198"/>
      <c r="H123" s="199" t="s">
        <v>6</v>
      </c>
      <c r="I123" s="185" t="s">
        <v>7</v>
      </c>
      <c r="J123" s="111"/>
    </row>
    <row r="124" spans="1:10" ht="19.5" customHeight="1">
      <c r="A124" s="217"/>
      <c r="B124" s="217"/>
      <c r="C124" s="217"/>
      <c r="D124" s="185"/>
      <c r="E124" s="51" t="s">
        <v>8</v>
      </c>
      <c r="F124" s="52" t="s">
        <v>9</v>
      </c>
      <c r="G124" s="52" t="s">
        <v>10</v>
      </c>
      <c r="H124" s="199"/>
      <c r="I124" s="185"/>
      <c r="J124" s="111"/>
    </row>
    <row r="125" spans="1:10" ht="16.5" customHeight="1">
      <c r="A125" s="212" t="s">
        <v>11</v>
      </c>
      <c r="B125" s="212"/>
      <c r="C125" s="212"/>
      <c r="D125" s="212"/>
      <c r="E125" s="212"/>
      <c r="F125" s="212"/>
      <c r="G125" s="212"/>
      <c r="H125" s="212"/>
      <c r="I125" s="212"/>
      <c r="J125" s="111"/>
    </row>
    <row r="126" spans="1:10" ht="16.5" customHeight="1">
      <c r="A126" s="190" t="s">
        <v>36</v>
      </c>
      <c r="B126" s="190"/>
      <c r="C126" s="190"/>
      <c r="D126" s="11">
        <v>205</v>
      </c>
      <c r="E126" s="81">
        <v>7.63380952380952</v>
      </c>
      <c r="F126" s="82">
        <v>12.5245238095238</v>
      </c>
      <c r="G126" s="82">
        <v>33.4540476190476</v>
      </c>
      <c r="H126" s="112">
        <v>278.214285714286</v>
      </c>
      <c r="I126" s="15">
        <v>182</v>
      </c>
      <c r="J126" s="111"/>
    </row>
    <row r="127" spans="1:10" ht="16.5" customHeight="1">
      <c r="A127" s="191" t="s">
        <v>20</v>
      </c>
      <c r="B127" s="191"/>
      <c r="C127" s="191"/>
      <c r="D127" s="16">
        <v>40</v>
      </c>
      <c r="E127" s="17">
        <v>3.16</v>
      </c>
      <c r="F127" s="18">
        <v>0.4</v>
      </c>
      <c r="G127" s="18">
        <v>19.32</v>
      </c>
      <c r="H127" s="42">
        <v>94</v>
      </c>
      <c r="I127" s="20" t="s">
        <v>21</v>
      </c>
      <c r="J127" s="111"/>
    </row>
    <row r="128" spans="1:248" ht="15.75" customHeight="1">
      <c r="A128" s="191" t="s">
        <v>38</v>
      </c>
      <c r="B128" s="191"/>
      <c r="C128" s="191"/>
      <c r="D128" s="16">
        <v>75</v>
      </c>
      <c r="E128" s="131">
        <v>8.37</v>
      </c>
      <c r="F128" s="84">
        <v>3.84</v>
      </c>
      <c r="G128" s="84">
        <v>29.235</v>
      </c>
      <c r="H128" s="19">
        <v>184.5</v>
      </c>
      <c r="I128" s="20">
        <v>406</v>
      </c>
      <c r="J128" s="111"/>
      <c r="IJ128" s="27"/>
      <c r="IK128" s="27"/>
      <c r="IL128" s="27"/>
      <c r="IM128" s="27"/>
      <c r="IN128" s="27"/>
    </row>
    <row r="129" spans="1:248" ht="16.5" customHeight="1">
      <c r="A129" s="192" t="s">
        <v>61</v>
      </c>
      <c r="B129" s="192"/>
      <c r="C129" s="192"/>
      <c r="D129" s="22">
        <v>180</v>
      </c>
      <c r="E129" s="23">
        <v>2.78</v>
      </c>
      <c r="F129" s="24">
        <v>0.67</v>
      </c>
      <c r="G129" s="24">
        <v>26</v>
      </c>
      <c r="H129" s="25">
        <v>125.11</v>
      </c>
      <c r="I129" s="26">
        <v>397</v>
      </c>
      <c r="J129" s="111"/>
      <c r="IJ129" s="27"/>
      <c r="IK129" s="27"/>
      <c r="IL129" s="27"/>
      <c r="IM129" s="27"/>
      <c r="IN129" s="27"/>
    </row>
    <row r="130" spans="1:10" ht="16.5" customHeight="1">
      <c r="A130" s="203" t="s">
        <v>15</v>
      </c>
      <c r="B130" s="203"/>
      <c r="C130" s="203"/>
      <c r="D130" s="29">
        <f>SUM(D126:D129)</f>
        <v>500</v>
      </c>
      <c r="E130" s="110">
        <f>SUM(E126:E129)</f>
        <v>21.94380952380952</v>
      </c>
      <c r="F130" s="110">
        <f>SUM(F126:F129)</f>
        <v>17.434523809523803</v>
      </c>
      <c r="G130" s="110">
        <f>SUM(G126:G129)</f>
        <v>108.0090476190476</v>
      </c>
      <c r="H130" s="110">
        <f>SUM(H126:H129)</f>
        <v>681.824285714286</v>
      </c>
      <c r="I130" s="33"/>
      <c r="J130" s="111"/>
    </row>
    <row r="131" spans="1:10" ht="15.75" customHeight="1">
      <c r="A131" s="185" t="s">
        <v>16</v>
      </c>
      <c r="B131" s="185"/>
      <c r="C131" s="185"/>
      <c r="D131" s="185"/>
      <c r="E131" s="185"/>
      <c r="F131" s="185"/>
      <c r="G131" s="185"/>
      <c r="H131" s="185"/>
      <c r="I131" s="185"/>
      <c r="J131" s="111"/>
    </row>
    <row r="132" spans="1:248" ht="15.75" customHeight="1">
      <c r="A132" s="190" t="s">
        <v>39</v>
      </c>
      <c r="B132" s="190"/>
      <c r="C132" s="190"/>
      <c r="D132" s="79">
        <v>250</v>
      </c>
      <c r="E132" s="80">
        <f>7.89/1000*250</f>
        <v>1.9725</v>
      </c>
      <c r="F132" s="12">
        <f>10.85/1000*250</f>
        <v>2.7125</v>
      </c>
      <c r="G132" s="13">
        <f>48.45/1000*250</f>
        <v>12.1125</v>
      </c>
      <c r="H132" s="14">
        <f>343/1000*250</f>
        <v>85.75</v>
      </c>
      <c r="I132" s="15">
        <v>101</v>
      </c>
      <c r="J132" s="114"/>
      <c r="IJ132" s="27"/>
      <c r="IK132" s="27"/>
      <c r="IL132" s="27"/>
      <c r="IM132" s="27"/>
      <c r="IN132" s="27"/>
    </row>
    <row r="133" spans="1:10" ht="15.75" customHeight="1">
      <c r="A133" s="191" t="s">
        <v>51</v>
      </c>
      <c r="B133" s="191"/>
      <c r="C133" s="191"/>
      <c r="D133" s="16">
        <v>155</v>
      </c>
      <c r="E133" s="17">
        <v>2.61285714285714</v>
      </c>
      <c r="F133" s="18">
        <v>16.2233333333333</v>
      </c>
      <c r="G133" s="18">
        <v>12.6952380952381</v>
      </c>
      <c r="H133" s="19">
        <v>209.619047619048</v>
      </c>
      <c r="I133" s="20">
        <v>143</v>
      </c>
      <c r="J133" s="114"/>
    </row>
    <row r="134" spans="1:243" ht="15.75" customHeight="1">
      <c r="A134" s="191" t="s">
        <v>50</v>
      </c>
      <c r="B134" s="191"/>
      <c r="C134" s="191"/>
      <c r="D134" s="16">
        <v>55</v>
      </c>
      <c r="E134" s="17">
        <f>8.5/55*75</f>
        <v>11.59090909090909</v>
      </c>
      <c r="F134" s="18">
        <f>12.1/55*75</f>
        <v>16.5</v>
      </c>
      <c r="G134" s="18">
        <f>7.16/55*75</f>
        <v>9.763636363636364</v>
      </c>
      <c r="H134" s="19">
        <f>164/55*75</f>
        <v>223.63636363636365</v>
      </c>
      <c r="I134" s="20">
        <v>268</v>
      </c>
      <c r="J134" s="114"/>
      <c r="IA134" s="27"/>
      <c r="IB134" s="27"/>
      <c r="IC134" s="27"/>
      <c r="ID134" s="27"/>
      <c r="IE134" s="27"/>
      <c r="IF134" s="27"/>
      <c r="IG134" s="27"/>
      <c r="IH134" s="27"/>
      <c r="II134" s="27"/>
    </row>
    <row r="135" spans="1:243" s="27" customFormat="1" ht="15.75" customHeight="1">
      <c r="A135" s="191" t="s">
        <v>14</v>
      </c>
      <c r="B135" s="191"/>
      <c r="C135" s="191"/>
      <c r="D135" s="16">
        <v>180</v>
      </c>
      <c r="E135" s="53">
        <v>0.06</v>
      </c>
      <c r="F135" s="54">
        <v>0.02</v>
      </c>
      <c r="G135" s="54">
        <v>9.99</v>
      </c>
      <c r="H135" s="42">
        <v>40</v>
      </c>
      <c r="I135" s="20">
        <v>392</v>
      </c>
      <c r="J135" s="114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</row>
    <row r="136" spans="1:10" ht="15.75" customHeight="1">
      <c r="A136" s="191" t="s">
        <v>33</v>
      </c>
      <c r="B136" s="191"/>
      <c r="C136" s="191"/>
      <c r="D136" s="16">
        <v>30</v>
      </c>
      <c r="E136" s="17">
        <v>2.37</v>
      </c>
      <c r="F136" s="18">
        <v>0.30000000000000004</v>
      </c>
      <c r="G136" s="18">
        <v>14.49</v>
      </c>
      <c r="H136" s="42">
        <v>70.5</v>
      </c>
      <c r="I136" s="20" t="s">
        <v>21</v>
      </c>
      <c r="J136" s="114"/>
    </row>
    <row r="137" spans="1:10" ht="16.5" customHeight="1">
      <c r="A137" s="205" t="s">
        <v>22</v>
      </c>
      <c r="B137" s="205"/>
      <c r="C137" s="205"/>
      <c r="D137" s="62">
        <v>30</v>
      </c>
      <c r="E137" s="63">
        <v>1.98</v>
      </c>
      <c r="F137" s="64">
        <v>0.36</v>
      </c>
      <c r="G137" s="64">
        <v>10.02</v>
      </c>
      <c r="H137" s="65">
        <v>52.2</v>
      </c>
      <c r="I137" s="66" t="s">
        <v>21</v>
      </c>
      <c r="J137" s="114"/>
    </row>
    <row r="138" spans="1:10" ht="16.5" customHeight="1">
      <c r="A138" s="195" t="s">
        <v>23</v>
      </c>
      <c r="B138" s="195"/>
      <c r="C138" s="195"/>
      <c r="D138" s="35">
        <f>SUM(D132:D137)</f>
        <v>700</v>
      </c>
      <c r="E138" s="132">
        <f>SUM(E132:E137)</f>
        <v>20.586266233766228</v>
      </c>
      <c r="F138" s="132">
        <f>SUM(F132:F137)</f>
        <v>36.1158333333333</v>
      </c>
      <c r="G138" s="132">
        <f>SUM(G132:G137)</f>
        <v>69.07137445887447</v>
      </c>
      <c r="H138" s="132">
        <f>SUM(H132:H137)</f>
        <v>681.7054112554117</v>
      </c>
      <c r="I138" s="68"/>
      <c r="J138" s="121"/>
    </row>
    <row r="139" spans="1:10" ht="16.5" customHeight="1">
      <c r="A139" s="195" t="s">
        <v>24</v>
      </c>
      <c r="B139" s="195"/>
      <c r="C139" s="195"/>
      <c r="D139" s="195"/>
      <c r="E139" s="44">
        <f>E130+E138</f>
        <v>42.530075757575744</v>
      </c>
      <c r="F139" s="45">
        <f>F130+F138</f>
        <v>53.5503571428571</v>
      </c>
      <c r="G139" s="45">
        <f>G130+G138</f>
        <v>177.0804220779221</v>
      </c>
      <c r="H139" s="46">
        <f>H130+H138</f>
        <v>1363.5296969696979</v>
      </c>
      <c r="I139" s="47"/>
      <c r="J139" s="111"/>
    </row>
    <row r="140" spans="1:9" ht="15.75" customHeight="1">
      <c r="A140" s="183" t="s">
        <v>55</v>
      </c>
      <c r="B140" s="183"/>
      <c r="C140" s="183"/>
      <c r="D140" s="123"/>
      <c r="E140" s="48"/>
      <c r="F140" s="48"/>
      <c r="G140" s="48"/>
      <c r="H140" s="48"/>
      <c r="I140" s="48"/>
    </row>
    <row r="141" spans="1:9" ht="16.5" customHeight="1">
      <c r="A141" s="184" t="s">
        <v>1</v>
      </c>
      <c r="B141" s="184"/>
      <c r="C141" s="184"/>
      <c r="D141" s="10"/>
      <c r="E141" s="50"/>
      <c r="F141" s="50"/>
      <c r="G141" s="50"/>
      <c r="H141" s="50"/>
      <c r="I141" s="50"/>
    </row>
    <row r="142" spans="1:10" ht="15.75" customHeight="1">
      <c r="A142" s="185" t="s">
        <v>62</v>
      </c>
      <c r="B142" s="185"/>
      <c r="C142" s="185"/>
      <c r="D142" s="185"/>
      <c r="E142" s="185"/>
      <c r="F142" s="185"/>
      <c r="G142" s="185"/>
      <c r="H142" s="185"/>
      <c r="I142" s="185"/>
      <c r="J142" s="111"/>
    </row>
    <row r="143" spans="1:10" ht="23.25" customHeight="1">
      <c r="A143" s="197" t="s">
        <v>3</v>
      </c>
      <c r="B143" s="197"/>
      <c r="C143" s="197"/>
      <c r="D143" s="185" t="s">
        <v>4</v>
      </c>
      <c r="E143" s="198" t="s">
        <v>5</v>
      </c>
      <c r="F143" s="198"/>
      <c r="G143" s="198"/>
      <c r="H143" s="199" t="s">
        <v>6</v>
      </c>
      <c r="I143" s="185" t="s">
        <v>7</v>
      </c>
      <c r="J143" s="111"/>
    </row>
    <row r="144" spans="1:10" ht="17.25" customHeight="1">
      <c r="A144" s="197"/>
      <c r="B144" s="197"/>
      <c r="C144" s="197"/>
      <c r="D144" s="185"/>
      <c r="E144" s="51" t="s">
        <v>8</v>
      </c>
      <c r="F144" s="52" t="s">
        <v>9</v>
      </c>
      <c r="G144" s="52" t="s">
        <v>10</v>
      </c>
      <c r="H144" s="199"/>
      <c r="I144" s="185"/>
      <c r="J144" s="111"/>
    </row>
    <row r="145" spans="1:10" ht="16.5" customHeight="1">
      <c r="A145" s="185" t="s">
        <v>11</v>
      </c>
      <c r="B145" s="185"/>
      <c r="C145" s="185"/>
      <c r="D145" s="185"/>
      <c r="E145" s="185"/>
      <c r="F145" s="185"/>
      <c r="G145" s="185"/>
      <c r="H145" s="185"/>
      <c r="I145" s="185"/>
      <c r="J145" s="111"/>
    </row>
    <row r="146" spans="1:10" ht="15.75" customHeight="1">
      <c r="A146" s="191" t="s">
        <v>63</v>
      </c>
      <c r="B146" s="191"/>
      <c r="C146" s="191"/>
      <c r="D146" s="16">
        <v>100</v>
      </c>
      <c r="E146" s="53">
        <f>8.13/110*10</f>
        <v>0.7390909090909091</v>
      </c>
      <c r="F146" s="54">
        <f>9.01/110*100</f>
        <v>8.19090909090909</v>
      </c>
      <c r="G146" s="54">
        <f>10.72/100*100</f>
        <v>10.72</v>
      </c>
      <c r="H146" s="42">
        <f>157/110*100</f>
        <v>142.72727272727272</v>
      </c>
      <c r="I146" s="16">
        <v>278</v>
      </c>
      <c r="J146" s="114"/>
    </row>
    <row r="147" spans="1:10" ht="15" customHeight="1">
      <c r="A147" s="191" t="s">
        <v>18</v>
      </c>
      <c r="B147" s="191"/>
      <c r="C147" s="191"/>
      <c r="D147" s="16">
        <v>150</v>
      </c>
      <c r="E147" s="17">
        <v>8.598</v>
      </c>
      <c r="F147" s="18">
        <v>4.2651</v>
      </c>
      <c r="G147" s="18">
        <v>38.6415</v>
      </c>
      <c r="H147" s="61">
        <v>243.75</v>
      </c>
      <c r="I147" s="20">
        <v>302</v>
      </c>
      <c r="J147" s="111"/>
    </row>
    <row r="148" spans="1:14" ht="15.75" customHeight="1">
      <c r="A148" s="191" t="s">
        <v>64</v>
      </c>
      <c r="B148" s="191"/>
      <c r="C148" s="191"/>
      <c r="D148" s="16">
        <v>35</v>
      </c>
      <c r="E148" s="17">
        <v>0.9882000000000001</v>
      </c>
      <c r="F148" s="18">
        <v>2.4732</v>
      </c>
      <c r="G148" s="18">
        <v>4.3764</v>
      </c>
      <c r="H148" s="61">
        <v>43.74</v>
      </c>
      <c r="I148" s="20">
        <v>52</v>
      </c>
      <c r="J148" s="111"/>
      <c r="K148" s="27"/>
      <c r="L148" s="27"/>
      <c r="M148" s="27"/>
      <c r="N148" s="27"/>
    </row>
    <row r="149" spans="1:243" ht="15.75" customHeight="1">
      <c r="A149" s="191" t="s">
        <v>20</v>
      </c>
      <c r="B149" s="191"/>
      <c r="C149" s="191"/>
      <c r="D149" s="16">
        <v>40</v>
      </c>
      <c r="E149" s="17">
        <v>3.16</v>
      </c>
      <c r="F149" s="18">
        <v>0.4</v>
      </c>
      <c r="G149" s="18">
        <v>19.32</v>
      </c>
      <c r="H149" s="42">
        <v>94</v>
      </c>
      <c r="I149" s="20" t="s">
        <v>21</v>
      </c>
      <c r="J149" s="111"/>
      <c r="IA149" s="27"/>
      <c r="IB149" s="27"/>
      <c r="IC149" s="27"/>
      <c r="ID149" s="27"/>
      <c r="IE149" s="27"/>
      <c r="IF149" s="27"/>
      <c r="IG149" s="27"/>
      <c r="IH149" s="27"/>
      <c r="II149" s="27"/>
    </row>
    <row r="150" spans="1:248" s="27" customFormat="1" ht="15.75" customHeight="1">
      <c r="A150" s="205" t="s">
        <v>14</v>
      </c>
      <c r="B150" s="205"/>
      <c r="C150" s="205"/>
      <c r="D150" s="62">
        <v>180</v>
      </c>
      <c r="E150" s="63">
        <v>0.06</v>
      </c>
      <c r="F150" s="64">
        <v>0.02</v>
      </c>
      <c r="G150" s="64">
        <v>9.99</v>
      </c>
      <c r="H150" s="65">
        <v>40</v>
      </c>
      <c r="I150" s="66">
        <v>392</v>
      </c>
      <c r="J150" s="113"/>
      <c r="HX150" s="28"/>
      <c r="HY150" s="28"/>
      <c r="HZ150" s="28"/>
      <c r="IA150" s="28"/>
      <c r="IB150" s="28"/>
      <c r="IC150" s="28"/>
      <c r="ID150" s="28"/>
      <c r="IE150" s="28"/>
      <c r="IF150" s="28"/>
      <c r="IG150" s="28"/>
      <c r="IH150" s="28"/>
      <c r="II150" s="28"/>
      <c r="IJ150" s="28"/>
      <c r="IK150" s="28"/>
      <c r="IL150" s="28"/>
      <c r="IM150" s="28"/>
      <c r="IN150" s="28"/>
    </row>
    <row r="151" spans="1:243" ht="16.5" customHeight="1">
      <c r="A151" s="195" t="s">
        <v>15</v>
      </c>
      <c r="B151" s="195"/>
      <c r="C151" s="195"/>
      <c r="D151" s="35">
        <f>SUM(D146:D150)</f>
        <v>505</v>
      </c>
      <c r="E151" s="67">
        <f>SUM(E146:E150)</f>
        <v>13.54529090909091</v>
      </c>
      <c r="F151" s="67">
        <f>SUM(F146:F150)</f>
        <v>15.34920909090909</v>
      </c>
      <c r="G151" s="67">
        <f>SUM(G146:G150)</f>
        <v>83.04789999999998</v>
      </c>
      <c r="H151" s="67">
        <f>SUM(H146:H150)</f>
        <v>564.2172727272728</v>
      </c>
      <c r="I151" s="68"/>
      <c r="J151" s="127"/>
      <c r="IA151" s="27"/>
      <c r="IB151" s="27"/>
      <c r="IC151" s="27"/>
      <c r="ID151" s="27"/>
      <c r="IE151" s="27"/>
      <c r="IF151" s="27"/>
      <c r="IG151" s="27"/>
      <c r="IH151" s="27"/>
      <c r="II151" s="27"/>
    </row>
    <row r="152" spans="1:243" ht="18.75" customHeight="1">
      <c r="A152" s="185" t="s">
        <v>16</v>
      </c>
      <c r="B152" s="185"/>
      <c r="C152" s="185"/>
      <c r="D152" s="185"/>
      <c r="E152" s="185"/>
      <c r="F152" s="185"/>
      <c r="G152" s="185"/>
      <c r="H152" s="185"/>
      <c r="I152" s="185"/>
      <c r="J152" s="127"/>
      <c r="IA152" s="27"/>
      <c r="IB152" s="27"/>
      <c r="IC152" s="27"/>
      <c r="ID152" s="27"/>
      <c r="IE152" s="27"/>
      <c r="IF152" s="27"/>
      <c r="IG152" s="27"/>
      <c r="IH152" s="27"/>
      <c r="II152" s="27"/>
    </row>
    <row r="153" spans="1:234" s="27" customFormat="1" ht="15.75" customHeight="1">
      <c r="A153" s="190" t="s">
        <v>65</v>
      </c>
      <c r="B153" s="190"/>
      <c r="C153" s="190"/>
      <c r="D153" s="11">
        <v>250</v>
      </c>
      <c r="E153" s="133">
        <f>8.07/1000*250</f>
        <v>2.0175</v>
      </c>
      <c r="F153" s="134">
        <f>20.3/1000*250</f>
        <v>5.075</v>
      </c>
      <c r="G153" s="134">
        <f>47.92/1000*250</f>
        <v>11.98</v>
      </c>
      <c r="H153" s="135">
        <f>429/1000*250</f>
        <v>107.25</v>
      </c>
      <c r="I153" s="15">
        <v>96</v>
      </c>
      <c r="J153" s="114"/>
      <c r="HR153" s="1"/>
      <c r="HS153" s="1"/>
      <c r="HT153" s="1"/>
      <c r="HU153" s="1"/>
      <c r="HV153" s="1"/>
      <c r="HW153" s="1"/>
      <c r="HX153" s="1"/>
      <c r="HY153" s="1"/>
      <c r="HZ153" s="1"/>
    </row>
    <row r="154" spans="1:234" ht="15.75" customHeight="1">
      <c r="A154" s="191" t="s">
        <v>47</v>
      </c>
      <c r="B154" s="191"/>
      <c r="C154" s="191"/>
      <c r="D154" s="16">
        <v>180</v>
      </c>
      <c r="E154" s="53">
        <v>12.5</v>
      </c>
      <c r="F154" s="54">
        <v>11.17</v>
      </c>
      <c r="G154" s="54">
        <v>12.9</v>
      </c>
      <c r="H154" s="42">
        <v>202</v>
      </c>
      <c r="I154" s="20">
        <v>292</v>
      </c>
      <c r="J154" s="114"/>
      <c r="HR154" s="100"/>
      <c r="HS154" s="100"/>
      <c r="HT154" s="100"/>
      <c r="HU154" s="100"/>
      <c r="HV154" s="100"/>
      <c r="HW154" s="100"/>
      <c r="HX154" s="100"/>
      <c r="HY154" s="100"/>
      <c r="HZ154" s="100"/>
    </row>
    <row r="155" spans="1:243" ht="15.75" customHeight="1">
      <c r="A155" s="191" t="s">
        <v>14</v>
      </c>
      <c r="B155" s="191"/>
      <c r="C155" s="191"/>
      <c r="D155" s="16">
        <v>180</v>
      </c>
      <c r="E155" s="53">
        <v>0.06</v>
      </c>
      <c r="F155" s="54">
        <v>0.02</v>
      </c>
      <c r="G155" s="54">
        <v>9.99</v>
      </c>
      <c r="H155" s="42">
        <v>40</v>
      </c>
      <c r="I155" s="20">
        <v>392</v>
      </c>
      <c r="J155" s="114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</row>
    <row r="156" spans="1:243" ht="15.75" customHeight="1">
      <c r="A156" s="191" t="s">
        <v>33</v>
      </c>
      <c r="B156" s="191"/>
      <c r="C156" s="191"/>
      <c r="D156" s="16">
        <v>40</v>
      </c>
      <c r="E156" s="17">
        <v>3.16</v>
      </c>
      <c r="F156" s="18">
        <v>0.4</v>
      </c>
      <c r="G156" s="18">
        <v>19.32</v>
      </c>
      <c r="H156" s="42">
        <v>94</v>
      </c>
      <c r="I156" s="20" t="s">
        <v>21</v>
      </c>
      <c r="J156" s="114"/>
      <c r="IA156" s="27"/>
      <c r="IB156" s="27"/>
      <c r="IC156" s="27"/>
      <c r="ID156" s="27"/>
      <c r="IE156" s="27"/>
      <c r="IF156" s="27"/>
      <c r="IG156" s="27"/>
      <c r="IH156" s="27"/>
      <c r="II156" s="27"/>
    </row>
    <row r="157" spans="1:243" ht="15.75" customHeight="1">
      <c r="A157" s="192" t="s">
        <v>22</v>
      </c>
      <c r="B157" s="192"/>
      <c r="C157" s="192"/>
      <c r="D157" s="22">
        <v>30</v>
      </c>
      <c r="E157" s="23">
        <v>1.98</v>
      </c>
      <c r="F157" s="24">
        <v>0.36</v>
      </c>
      <c r="G157" s="24">
        <v>10.02</v>
      </c>
      <c r="H157" s="25">
        <v>52.2</v>
      </c>
      <c r="I157" s="136" t="s">
        <v>21</v>
      </c>
      <c r="J157" s="114"/>
      <c r="IA157" s="27"/>
      <c r="IB157" s="27"/>
      <c r="IC157" s="27"/>
      <c r="ID157" s="27"/>
      <c r="IE157" s="27"/>
      <c r="IF157" s="27"/>
      <c r="IG157" s="27"/>
      <c r="IH157" s="27"/>
      <c r="II157" s="27"/>
    </row>
    <row r="158" spans="1:243" ht="16.5" customHeight="1">
      <c r="A158" s="193" t="s">
        <v>23</v>
      </c>
      <c r="B158" s="193"/>
      <c r="C158" s="193"/>
      <c r="D158" s="29">
        <f>SUM(D153:D157)</f>
        <v>680</v>
      </c>
      <c r="E158" s="30">
        <f>SUM(E153:E157)</f>
        <v>19.7175</v>
      </c>
      <c r="F158" s="30">
        <f>SUM(F153:F157)</f>
        <v>17.025</v>
      </c>
      <c r="G158" s="30">
        <f>SUM(G153:G157)</f>
        <v>64.21000000000001</v>
      </c>
      <c r="H158" s="30">
        <f>SUM(H153:H157)</f>
        <v>495.45</v>
      </c>
      <c r="I158" s="137"/>
      <c r="J158" s="121"/>
      <c r="IA158" s="27"/>
      <c r="IB158" s="27"/>
      <c r="IC158" s="27"/>
      <c r="ID158" s="27"/>
      <c r="IE158" s="27"/>
      <c r="IF158" s="27"/>
      <c r="IG158" s="27"/>
      <c r="IH158" s="27"/>
      <c r="II158" s="27"/>
    </row>
    <row r="159" spans="1:243" ht="16.5" customHeight="1">
      <c r="A159" s="195" t="s">
        <v>24</v>
      </c>
      <c r="B159" s="195"/>
      <c r="C159" s="195"/>
      <c r="D159" s="195"/>
      <c r="E159" s="44">
        <f>E151+E158</f>
        <v>33.26279090909091</v>
      </c>
      <c r="F159" s="45">
        <f>F151+F158</f>
        <v>32.37420909090909</v>
      </c>
      <c r="G159" s="45">
        <f>G151+G158</f>
        <v>147.2579</v>
      </c>
      <c r="H159" s="46">
        <f>H151+H158</f>
        <v>1059.6672727272728</v>
      </c>
      <c r="I159" s="47"/>
      <c r="J159" s="111"/>
      <c r="IA159" s="27"/>
      <c r="IB159" s="27"/>
      <c r="IC159" s="27"/>
      <c r="ID159" s="27"/>
      <c r="IE159" s="27"/>
      <c r="IF159" s="27"/>
      <c r="IG159" s="27"/>
      <c r="IH159" s="27"/>
      <c r="II159" s="27"/>
    </row>
    <row r="160" spans="1:9" ht="15.75" customHeight="1">
      <c r="A160" s="183" t="s">
        <v>55</v>
      </c>
      <c r="B160" s="183"/>
      <c r="C160" s="183"/>
      <c r="D160" s="123"/>
      <c r="E160" s="48"/>
      <c r="F160" s="48"/>
      <c r="G160" s="48"/>
      <c r="H160" s="48"/>
      <c r="I160" s="48"/>
    </row>
    <row r="161" spans="1:9" ht="16.5" customHeight="1">
      <c r="A161" s="184" t="s">
        <v>1</v>
      </c>
      <c r="B161" s="184"/>
      <c r="C161" s="184"/>
      <c r="D161" s="10"/>
      <c r="E161" s="50"/>
      <c r="F161" s="50"/>
      <c r="G161" s="50"/>
      <c r="H161" s="50"/>
      <c r="I161" s="50"/>
    </row>
    <row r="162" spans="1:10" ht="15.75" customHeight="1">
      <c r="A162" s="185" t="s">
        <v>66</v>
      </c>
      <c r="B162" s="185"/>
      <c r="C162" s="185"/>
      <c r="D162" s="185"/>
      <c r="E162" s="185"/>
      <c r="F162" s="185"/>
      <c r="G162" s="185"/>
      <c r="H162" s="185"/>
      <c r="I162" s="185"/>
      <c r="J162" s="111"/>
    </row>
    <row r="163" spans="1:10" ht="22.5" customHeight="1">
      <c r="A163" s="186" t="s">
        <v>3</v>
      </c>
      <c r="B163" s="186"/>
      <c r="C163" s="186"/>
      <c r="D163" s="185" t="s">
        <v>4</v>
      </c>
      <c r="E163" s="187" t="s">
        <v>5</v>
      </c>
      <c r="F163" s="187"/>
      <c r="G163" s="187"/>
      <c r="H163" s="188" t="s">
        <v>6</v>
      </c>
      <c r="I163" s="185" t="s">
        <v>7</v>
      </c>
      <c r="J163" s="111"/>
    </row>
    <row r="164" spans="1:10" ht="21" customHeight="1">
      <c r="A164" s="186"/>
      <c r="B164" s="186"/>
      <c r="C164" s="186"/>
      <c r="D164" s="185"/>
      <c r="E164" s="9" t="s">
        <v>8</v>
      </c>
      <c r="F164" s="10" t="s">
        <v>9</v>
      </c>
      <c r="G164" s="10" t="s">
        <v>10</v>
      </c>
      <c r="H164" s="188"/>
      <c r="I164" s="185"/>
      <c r="J164" s="111"/>
    </row>
    <row r="165" spans="1:10" ht="16.5" customHeight="1">
      <c r="A165" s="212" t="s">
        <v>11</v>
      </c>
      <c r="B165" s="212"/>
      <c r="C165" s="212"/>
      <c r="D165" s="212"/>
      <c r="E165" s="212"/>
      <c r="F165" s="212"/>
      <c r="G165" s="212"/>
      <c r="H165" s="212"/>
      <c r="I165" s="212"/>
      <c r="J165" s="111"/>
    </row>
    <row r="166" spans="1:243" ht="15.75" customHeight="1">
      <c r="A166" s="190" t="s">
        <v>67</v>
      </c>
      <c r="B166" s="190"/>
      <c r="C166" s="190"/>
      <c r="D166" s="11">
        <v>170</v>
      </c>
      <c r="E166" s="81">
        <v>11.5056</v>
      </c>
      <c r="F166" s="82">
        <v>13.532</v>
      </c>
      <c r="G166" s="82">
        <v>28.9952</v>
      </c>
      <c r="H166" s="83">
        <v>284.24</v>
      </c>
      <c r="I166" s="15">
        <v>204</v>
      </c>
      <c r="J166" s="138"/>
      <c r="IA166" s="27"/>
      <c r="IB166" s="27"/>
      <c r="IC166" s="27"/>
      <c r="ID166" s="27"/>
      <c r="IE166" s="27"/>
      <c r="IF166" s="27"/>
      <c r="IG166" s="27"/>
      <c r="IH166" s="27"/>
      <c r="II166" s="27"/>
    </row>
    <row r="167" spans="1:243" ht="15.75" customHeight="1">
      <c r="A167" s="191" t="s">
        <v>20</v>
      </c>
      <c r="B167" s="191"/>
      <c r="C167" s="191"/>
      <c r="D167" s="16">
        <v>30</v>
      </c>
      <c r="E167" s="17">
        <v>2.37</v>
      </c>
      <c r="F167" s="18">
        <v>0.30000000000000004</v>
      </c>
      <c r="G167" s="18">
        <v>14.49</v>
      </c>
      <c r="H167" s="42">
        <v>70.5</v>
      </c>
      <c r="I167" s="20" t="s">
        <v>21</v>
      </c>
      <c r="J167" s="138"/>
      <c r="IA167" s="27"/>
      <c r="IB167" s="27"/>
      <c r="IC167" s="27"/>
      <c r="ID167" s="27"/>
      <c r="IE167" s="27"/>
      <c r="IF167" s="27"/>
      <c r="IG167" s="27"/>
      <c r="IH167" s="27"/>
      <c r="II167" s="27"/>
    </row>
    <row r="168" spans="1:248" ht="15.75" customHeight="1">
      <c r="A168" s="201" t="s">
        <v>28</v>
      </c>
      <c r="B168" s="201"/>
      <c r="C168" s="201"/>
      <c r="D168" s="55" t="s">
        <v>29</v>
      </c>
      <c r="E168" s="53">
        <v>0.12</v>
      </c>
      <c r="F168" s="54">
        <v>0.02</v>
      </c>
      <c r="G168" s="54">
        <v>10.2</v>
      </c>
      <c r="H168" s="42">
        <v>41</v>
      </c>
      <c r="I168" s="20">
        <v>393</v>
      </c>
      <c r="J168" s="111"/>
      <c r="IJ168" s="27"/>
      <c r="IK168" s="27"/>
      <c r="IL168" s="27"/>
      <c r="IM168" s="27"/>
      <c r="IN168" s="27"/>
    </row>
    <row r="169" spans="1:240" s="27" customFormat="1" ht="16.5" customHeight="1">
      <c r="A169" s="192" t="s">
        <v>13</v>
      </c>
      <c r="B169" s="192"/>
      <c r="C169" s="192"/>
      <c r="D169" s="22">
        <v>150</v>
      </c>
      <c r="E169" s="56">
        <v>2.85</v>
      </c>
      <c r="F169" s="57">
        <v>0.95</v>
      </c>
      <c r="G169" s="57">
        <v>39.9</v>
      </c>
      <c r="H169" s="78">
        <v>182.4</v>
      </c>
      <c r="I169" s="26">
        <v>338</v>
      </c>
      <c r="J169" s="113"/>
      <c r="HX169" s="100"/>
      <c r="HY169" s="100"/>
      <c r="HZ169" s="100"/>
      <c r="IA169" s="100"/>
      <c r="IB169" s="100"/>
      <c r="IC169" s="100"/>
      <c r="ID169" s="100"/>
      <c r="IE169" s="100"/>
      <c r="IF169" s="100"/>
    </row>
    <row r="170" spans="1:10" ht="16.5" customHeight="1">
      <c r="A170" s="193" t="s">
        <v>15</v>
      </c>
      <c r="B170" s="193"/>
      <c r="C170" s="193"/>
      <c r="D170" s="29">
        <f>D166+D167+D169+187</f>
        <v>537</v>
      </c>
      <c r="E170" s="30">
        <f>SUM(E166:E169)</f>
        <v>16.845599999999997</v>
      </c>
      <c r="F170" s="30">
        <f>SUM(F166:F169)</f>
        <v>14.802</v>
      </c>
      <c r="G170" s="30">
        <f>SUM(G166:G169)</f>
        <v>93.58519999999999</v>
      </c>
      <c r="H170" s="30">
        <f>SUM(H166:H169)</f>
        <v>578.14</v>
      </c>
      <c r="I170" s="33"/>
      <c r="J170" s="111"/>
    </row>
    <row r="171" spans="1:10" ht="18" customHeight="1">
      <c r="A171" s="212" t="s">
        <v>16</v>
      </c>
      <c r="B171" s="212"/>
      <c r="C171" s="212"/>
      <c r="D171" s="212"/>
      <c r="E171" s="212"/>
      <c r="F171" s="212"/>
      <c r="G171" s="212"/>
      <c r="H171" s="212"/>
      <c r="I171" s="212"/>
      <c r="J171" s="111"/>
    </row>
    <row r="172" spans="1:248" ht="15.75" customHeight="1">
      <c r="A172" s="190" t="s">
        <v>68</v>
      </c>
      <c r="B172" s="190"/>
      <c r="C172" s="190"/>
      <c r="D172" s="11">
        <v>250</v>
      </c>
      <c r="E172" s="12">
        <v>1.65</v>
      </c>
      <c r="F172" s="13">
        <v>4.01</v>
      </c>
      <c r="G172" s="13">
        <v>10.75</v>
      </c>
      <c r="H172" s="14">
        <v>93.6</v>
      </c>
      <c r="I172" s="11">
        <v>83</v>
      </c>
      <c r="J172" s="114"/>
      <c r="IJ172" s="27"/>
      <c r="IK172" s="27"/>
      <c r="IL172" s="27"/>
      <c r="IM172" s="27"/>
      <c r="IN172" s="27"/>
    </row>
    <row r="173" spans="1:10" ht="15.75" customHeight="1">
      <c r="A173" s="191" t="s">
        <v>69</v>
      </c>
      <c r="B173" s="191"/>
      <c r="C173" s="191"/>
      <c r="D173" s="96">
        <v>180</v>
      </c>
      <c r="E173" s="37">
        <f>42.1/1000*180</f>
        <v>7.577999999999999</v>
      </c>
      <c r="F173" s="18">
        <f>30.03/1000*180</f>
        <v>5.4054</v>
      </c>
      <c r="G173" s="18">
        <f>259.01/1000*180</f>
        <v>46.6218</v>
      </c>
      <c r="H173" s="19">
        <f>1475/1000*180</f>
        <v>265.5</v>
      </c>
      <c r="I173" s="20">
        <v>302</v>
      </c>
      <c r="J173" s="114"/>
    </row>
    <row r="174" spans="1:248" ht="15.75" customHeight="1">
      <c r="A174" s="191" t="s">
        <v>31</v>
      </c>
      <c r="B174" s="191"/>
      <c r="C174" s="191"/>
      <c r="D174" s="16">
        <v>100</v>
      </c>
      <c r="E174" s="17">
        <f>8.45/80*100</f>
        <v>10.5625</v>
      </c>
      <c r="F174" s="18">
        <f>9.85/80*100</f>
        <v>12.3125</v>
      </c>
      <c r="G174" s="18">
        <f>10.36/80*100</f>
        <v>12.950000000000001</v>
      </c>
      <c r="H174" s="19">
        <f>164/80*100</f>
        <v>204.99999999999997</v>
      </c>
      <c r="I174" s="16">
        <v>294</v>
      </c>
      <c r="J174" s="114"/>
      <c r="IJ174" s="27"/>
      <c r="IK174" s="27"/>
      <c r="IL174" s="27"/>
      <c r="IM174" s="27"/>
      <c r="IN174" s="27"/>
    </row>
    <row r="175" spans="1:248" s="27" customFormat="1" ht="15.75" customHeight="1">
      <c r="A175" s="191" t="s">
        <v>48</v>
      </c>
      <c r="B175" s="191"/>
      <c r="C175" s="191"/>
      <c r="D175" s="115">
        <v>180</v>
      </c>
      <c r="E175" s="116">
        <f>2.25/1000*180</f>
        <v>0.40499999999999997</v>
      </c>
      <c r="F175" s="103">
        <f>0.5/1000*180</f>
        <v>0.09</v>
      </c>
      <c r="G175" s="103">
        <f>169.95/1000*180</f>
        <v>30.590999999999998</v>
      </c>
      <c r="H175" s="128">
        <f>706/1000*180</f>
        <v>127.08</v>
      </c>
      <c r="I175" s="118">
        <v>342</v>
      </c>
      <c r="J175" s="114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  <c r="IM175" s="28"/>
      <c r="IN175" s="28"/>
    </row>
    <row r="176" spans="1:10" ht="15.75" customHeight="1">
      <c r="A176" s="191" t="s">
        <v>33</v>
      </c>
      <c r="B176" s="191"/>
      <c r="C176" s="191"/>
      <c r="D176" s="16">
        <v>40</v>
      </c>
      <c r="E176" s="17">
        <v>3.16</v>
      </c>
      <c r="F176" s="18">
        <v>0.4</v>
      </c>
      <c r="G176" s="18">
        <v>19.32</v>
      </c>
      <c r="H176" s="42">
        <v>94</v>
      </c>
      <c r="I176" s="20" t="s">
        <v>21</v>
      </c>
      <c r="J176" s="114"/>
    </row>
    <row r="177" spans="1:10" ht="15.75" customHeight="1">
      <c r="A177" s="192" t="s">
        <v>22</v>
      </c>
      <c r="B177" s="192"/>
      <c r="C177" s="192"/>
      <c r="D177" s="22">
        <v>30</v>
      </c>
      <c r="E177" s="23">
        <v>1.98</v>
      </c>
      <c r="F177" s="24">
        <v>0.36</v>
      </c>
      <c r="G177" s="24">
        <v>10.02</v>
      </c>
      <c r="H177" s="25">
        <v>52.2</v>
      </c>
      <c r="I177" s="26" t="s">
        <v>21</v>
      </c>
      <c r="J177" s="114"/>
    </row>
    <row r="178" spans="1:10" ht="16.5" customHeight="1">
      <c r="A178" s="195" t="s">
        <v>23</v>
      </c>
      <c r="B178" s="195"/>
      <c r="C178" s="195"/>
      <c r="D178" s="35">
        <f>SUM(D172:D177)</f>
        <v>780</v>
      </c>
      <c r="E178" s="132">
        <f>SUM(E172:E177)</f>
        <v>25.335500000000003</v>
      </c>
      <c r="F178" s="132">
        <f>SUM(F172:F177)</f>
        <v>22.577899999999996</v>
      </c>
      <c r="G178" s="132">
        <f>SUM(G172:G177)</f>
        <v>130.2528</v>
      </c>
      <c r="H178" s="132">
        <f>SUM(H172:H177)</f>
        <v>837.3800000000001</v>
      </c>
      <c r="I178" s="68"/>
      <c r="J178" s="139"/>
    </row>
    <row r="179" spans="1:10" ht="16.5" customHeight="1">
      <c r="A179" s="195" t="s">
        <v>24</v>
      </c>
      <c r="B179" s="195"/>
      <c r="C179" s="195"/>
      <c r="D179" s="195"/>
      <c r="E179" s="44">
        <f>E170+E178</f>
        <v>42.1811</v>
      </c>
      <c r="F179" s="45">
        <f>F170+F178</f>
        <v>37.37989999999999</v>
      </c>
      <c r="G179" s="45">
        <f>G170+G178</f>
        <v>223.838</v>
      </c>
      <c r="H179" s="46">
        <f>H170+H178</f>
        <v>1415.52</v>
      </c>
      <c r="I179" s="47"/>
      <c r="J179" s="111"/>
    </row>
    <row r="180" spans="1:9" ht="15.75" customHeight="1">
      <c r="A180" s="183" t="s">
        <v>55</v>
      </c>
      <c r="B180" s="183"/>
      <c r="C180" s="183"/>
      <c r="D180" s="123"/>
      <c r="E180" s="4"/>
      <c r="F180" s="5"/>
      <c r="G180" s="5"/>
      <c r="H180" s="5"/>
      <c r="I180" s="5"/>
    </row>
    <row r="181" spans="1:9" ht="16.5" customHeight="1">
      <c r="A181" s="184" t="s">
        <v>1</v>
      </c>
      <c r="B181" s="184"/>
      <c r="C181" s="184"/>
      <c r="D181" s="10"/>
      <c r="E181" s="7"/>
      <c r="F181" s="8"/>
      <c r="G181" s="8"/>
      <c r="H181" s="8"/>
      <c r="I181" s="8"/>
    </row>
    <row r="182" spans="1:10" ht="18" customHeight="1">
      <c r="A182" s="212" t="s">
        <v>70</v>
      </c>
      <c r="B182" s="212"/>
      <c r="C182" s="212"/>
      <c r="D182" s="212"/>
      <c r="E182" s="212"/>
      <c r="F182" s="212"/>
      <c r="G182" s="212"/>
      <c r="H182" s="212"/>
      <c r="I182" s="212"/>
      <c r="J182" s="111"/>
    </row>
    <row r="183" spans="1:243" ht="20.25" customHeight="1">
      <c r="A183" s="218" t="s">
        <v>3</v>
      </c>
      <c r="B183" s="218"/>
      <c r="C183" s="218"/>
      <c r="D183" s="185" t="s">
        <v>4</v>
      </c>
      <c r="E183" s="198" t="s">
        <v>5</v>
      </c>
      <c r="F183" s="198"/>
      <c r="G183" s="198"/>
      <c r="H183" s="199" t="s">
        <v>6</v>
      </c>
      <c r="I183" s="185" t="s">
        <v>7</v>
      </c>
      <c r="J183" s="111"/>
      <c r="IA183" s="27"/>
      <c r="IB183" s="27"/>
      <c r="IC183" s="27"/>
      <c r="ID183" s="27"/>
      <c r="IE183" s="27"/>
      <c r="IF183" s="27"/>
      <c r="IG183" s="27"/>
      <c r="IH183" s="27"/>
      <c r="II183" s="27"/>
    </row>
    <row r="184" spans="1:243" ht="21" customHeight="1">
      <c r="A184" s="218"/>
      <c r="B184" s="218"/>
      <c r="C184" s="218"/>
      <c r="D184" s="185"/>
      <c r="E184" s="51" t="s">
        <v>8</v>
      </c>
      <c r="F184" s="52" t="s">
        <v>9</v>
      </c>
      <c r="G184" s="52" t="s">
        <v>10</v>
      </c>
      <c r="H184" s="199"/>
      <c r="I184" s="185"/>
      <c r="J184" s="111"/>
      <c r="IA184" s="27"/>
      <c r="IB184" s="27"/>
      <c r="IC184" s="27"/>
      <c r="ID184" s="27"/>
      <c r="IE184" s="27"/>
      <c r="IF184" s="27"/>
      <c r="IG184" s="27"/>
      <c r="IH184" s="27"/>
      <c r="II184" s="27"/>
    </row>
    <row r="185" spans="1:243" ht="16.5" customHeight="1">
      <c r="A185" s="194" t="s">
        <v>11</v>
      </c>
      <c r="B185" s="194"/>
      <c r="C185" s="194"/>
      <c r="D185" s="194"/>
      <c r="E185" s="194"/>
      <c r="F185" s="194"/>
      <c r="G185" s="194"/>
      <c r="H185" s="194"/>
      <c r="I185" s="194"/>
      <c r="J185" s="111"/>
      <c r="IA185" s="27"/>
      <c r="IB185" s="27"/>
      <c r="IC185" s="27"/>
      <c r="ID185" s="27"/>
      <c r="IE185" s="27"/>
      <c r="IF185" s="27"/>
      <c r="IG185" s="27"/>
      <c r="IH185" s="27"/>
      <c r="II185" s="27"/>
    </row>
    <row r="186" spans="1:234" s="27" customFormat="1" ht="15.75" customHeight="1">
      <c r="A186" s="190" t="s">
        <v>47</v>
      </c>
      <c r="B186" s="190"/>
      <c r="C186" s="190"/>
      <c r="D186" s="92">
        <v>180</v>
      </c>
      <c r="E186" s="93">
        <v>12.5</v>
      </c>
      <c r="F186" s="13">
        <v>11.17</v>
      </c>
      <c r="G186" s="13">
        <v>12.9</v>
      </c>
      <c r="H186" s="14">
        <v>202</v>
      </c>
      <c r="I186" s="15">
        <v>292</v>
      </c>
      <c r="J186" s="138"/>
      <c r="HR186" s="100"/>
      <c r="HS186" s="100"/>
      <c r="HT186" s="100"/>
      <c r="HU186" s="100"/>
      <c r="HV186" s="100"/>
      <c r="HW186" s="100"/>
      <c r="HX186" s="100"/>
      <c r="HY186" s="100"/>
      <c r="HZ186" s="100"/>
    </row>
    <row r="187" spans="1:248" ht="15.75" customHeight="1">
      <c r="A187" s="191" t="s">
        <v>43</v>
      </c>
      <c r="B187" s="191"/>
      <c r="C187" s="191"/>
      <c r="D187" s="16">
        <v>60</v>
      </c>
      <c r="E187" s="17">
        <f>11.01/1000*60</f>
        <v>0.6606</v>
      </c>
      <c r="F187" s="18">
        <f>61.11/1000*60</f>
        <v>3.6666</v>
      </c>
      <c r="G187" s="18">
        <f>45.67/1000*60</f>
        <v>2.7402</v>
      </c>
      <c r="H187" s="42">
        <f>777/1000*60</f>
        <v>46.620000000000005</v>
      </c>
      <c r="I187" s="20">
        <v>23</v>
      </c>
      <c r="J187" s="114"/>
      <c r="K187" s="91"/>
      <c r="IJ187" s="27"/>
      <c r="IK187" s="27"/>
      <c r="IL187" s="27"/>
      <c r="IM187" s="27"/>
      <c r="IN187" s="27"/>
    </row>
    <row r="188" spans="1:10" ht="15.75" customHeight="1">
      <c r="A188" s="191" t="s">
        <v>20</v>
      </c>
      <c r="B188" s="191"/>
      <c r="C188" s="191"/>
      <c r="D188" s="96">
        <v>40</v>
      </c>
      <c r="E188" s="37">
        <v>3.16</v>
      </c>
      <c r="F188" s="18">
        <v>0.4</v>
      </c>
      <c r="G188" s="18">
        <v>19.32</v>
      </c>
      <c r="H188" s="42">
        <v>94</v>
      </c>
      <c r="I188" s="20" t="s">
        <v>21</v>
      </c>
      <c r="J188" s="138"/>
    </row>
    <row r="189" spans="1:234" s="27" customFormat="1" ht="16.5" customHeight="1">
      <c r="A189" s="191" t="s">
        <v>28</v>
      </c>
      <c r="B189" s="191"/>
      <c r="C189" s="191"/>
      <c r="D189" s="140" t="s">
        <v>29</v>
      </c>
      <c r="E189" s="97">
        <v>0.12</v>
      </c>
      <c r="F189" s="54">
        <v>0.02</v>
      </c>
      <c r="G189" s="54">
        <v>10.2</v>
      </c>
      <c r="H189" s="42">
        <v>41</v>
      </c>
      <c r="I189" s="26">
        <v>393</v>
      </c>
      <c r="J189" s="138"/>
      <c r="HR189" s="1"/>
      <c r="HS189" s="1"/>
      <c r="HT189" s="1"/>
      <c r="HU189" s="1"/>
      <c r="HV189" s="1"/>
      <c r="HW189" s="1"/>
      <c r="HX189" s="1"/>
      <c r="HY189" s="1"/>
      <c r="HZ189" s="1"/>
    </row>
    <row r="190" spans="1:243" ht="16.5" customHeight="1">
      <c r="A190" s="195" t="s">
        <v>15</v>
      </c>
      <c r="B190" s="195"/>
      <c r="C190" s="195"/>
      <c r="D190" s="141">
        <f>D186+D187+D188+187</f>
        <v>467</v>
      </c>
      <c r="E190" s="44">
        <f>SUM(E186:E189)</f>
        <v>16.4406</v>
      </c>
      <c r="F190" s="67">
        <f>SUM(F186:F189)</f>
        <v>15.2566</v>
      </c>
      <c r="G190" s="67">
        <f>SUM(G186:G189)</f>
        <v>45.1602</v>
      </c>
      <c r="H190" s="47">
        <f>SUM(H186:H189)</f>
        <v>383.62</v>
      </c>
      <c r="I190" s="120"/>
      <c r="J190" s="111"/>
      <c r="IA190" s="27"/>
      <c r="IB190" s="27"/>
      <c r="IC190" s="27"/>
      <c r="ID190" s="27"/>
      <c r="IE190" s="27"/>
      <c r="IF190" s="27"/>
      <c r="IG190" s="27"/>
      <c r="IH190" s="27"/>
      <c r="II190" s="27"/>
    </row>
    <row r="191" spans="1:243" ht="16.5" customHeight="1">
      <c r="A191" s="194"/>
      <c r="B191" s="194"/>
      <c r="C191" s="194"/>
      <c r="D191" s="194"/>
      <c r="E191" s="194"/>
      <c r="F191" s="194"/>
      <c r="G191" s="194"/>
      <c r="H191" s="194"/>
      <c r="I191" s="194"/>
      <c r="J191" s="111"/>
      <c r="IA191" s="27"/>
      <c r="IB191" s="27"/>
      <c r="IC191" s="27"/>
      <c r="ID191" s="27"/>
      <c r="IE191" s="27"/>
      <c r="IF191" s="27"/>
      <c r="IG191" s="27"/>
      <c r="IH191" s="27"/>
      <c r="II191" s="27"/>
    </row>
    <row r="192" spans="1:248" ht="15.75" customHeight="1">
      <c r="A192" s="190" t="s">
        <v>17</v>
      </c>
      <c r="B192" s="190"/>
      <c r="C192" s="190"/>
      <c r="D192" s="11">
        <v>250</v>
      </c>
      <c r="E192" s="12">
        <f>10.75/1000*250</f>
        <v>2.6875</v>
      </c>
      <c r="F192" s="13">
        <f>11.35/1000*250</f>
        <v>2.8375</v>
      </c>
      <c r="G192" s="13">
        <f>69.82/1000*250</f>
        <v>17.455</v>
      </c>
      <c r="H192" s="14">
        <f>473/1000*250</f>
        <v>118.25</v>
      </c>
      <c r="I192" s="15">
        <v>103</v>
      </c>
      <c r="J192" s="114"/>
      <c r="IJ192" s="27"/>
      <c r="IK192" s="27"/>
      <c r="IL192" s="27"/>
      <c r="IM192" s="27"/>
      <c r="IN192" s="27"/>
    </row>
    <row r="193" spans="1:243" ht="15.75" customHeight="1">
      <c r="A193" s="191" t="s">
        <v>26</v>
      </c>
      <c r="B193" s="191"/>
      <c r="C193" s="191"/>
      <c r="D193" s="16">
        <v>100</v>
      </c>
      <c r="E193" s="53">
        <v>9.75</v>
      </c>
      <c r="F193" s="54">
        <v>4.95</v>
      </c>
      <c r="G193" s="54">
        <v>3.8</v>
      </c>
      <c r="H193" s="42">
        <v>105</v>
      </c>
      <c r="I193" s="16">
        <v>229</v>
      </c>
      <c r="J193" s="114"/>
      <c r="IA193" s="27"/>
      <c r="IB193" s="27"/>
      <c r="IC193" s="27"/>
      <c r="ID193" s="27"/>
      <c r="IE193" s="27"/>
      <c r="IF193" s="27"/>
      <c r="IG193" s="27"/>
      <c r="IH193" s="27"/>
      <c r="II193" s="27"/>
    </row>
    <row r="194" spans="1:243" ht="15.75" customHeight="1">
      <c r="A194" s="191" t="s">
        <v>18</v>
      </c>
      <c r="B194" s="191"/>
      <c r="C194" s="191"/>
      <c r="D194" s="16">
        <v>180</v>
      </c>
      <c r="E194" s="17">
        <f>24.03/1000*180</f>
        <v>4.3254</v>
      </c>
      <c r="F194" s="18">
        <f>28.84/1000*180</f>
        <v>5.1912</v>
      </c>
      <c r="G194" s="18">
        <f>250.23/1000*180</f>
        <v>45.0414</v>
      </c>
      <c r="H194" s="61">
        <v>203.55</v>
      </c>
      <c r="I194" s="16">
        <v>302</v>
      </c>
      <c r="J194" s="114"/>
      <c r="IA194" s="27"/>
      <c r="IB194" s="27"/>
      <c r="IC194" s="27"/>
      <c r="ID194" s="27"/>
      <c r="IE194" s="27"/>
      <c r="IF194" s="27"/>
      <c r="IG194" s="27"/>
      <c r="IH194" s="27"/>
      <c r="II194" s="27"/>
    </row>
    <row r="195" spans="1:243" ht="15.75" customHeight="1">
      <c r="A195" s="191" t="s">
        <v>33</v>
      </c>
      <c r="B195" s="191"/>
      <c r="C195" s="191"/>
      <c r="D195" s="16">
        <v>30</v>
      </c>
      <c r="E195" s="17">
        <v>2.37</v>
      </c>
      <c r="F195" s="18">
        <v>0.30000000000000004</v>
      </c>
      <c r="G195" s="18">
        <v>14.49</v>
      </c>
      <c r="H195" s="42">
        <v>70.5</v>
      </c>
      <c r="I195" s="20" t="s">
        <v>21</v>
      </c>
      <c r="J195" s="114"/>
      <c r="IA195" s="27"/>
      <c r="IB195" s="27"/>
      <c r="IC195" s="27"/>
      <c r="ID195" s="27"/>
      <c r="IE195" s="27"/>
      <c r="IF195" s="27"/>
      <c r="IG195" s="27"/>
      <c r="IH195" s="27"/>
      <c r="II195" s="27"/>
    </row>
    <row r="196" spans="1:243" ht="15.75" customHeight="1">
      <c r="A196" s="191" t="s">
        <v>22</v>
      </c>
      <c r="B196" s="191"/>
      <c r="C196" s="191"/>
      <c r="D196" s="16">
        <v>30</v>
      </c>
      <c r="E196" s="53">
        <v>1.98</v>
      </c>
      <c r="F196" s="54">
        <v>0.36</v>
      </c>
      <c r="G196" s="54">
        <v>10.02</v>
      </c>
      <c r="H196" s="42">
        <v>52.2</v>
      </c>
      <c r="I196" s="20" t="s">
        <v>21</v>
      </c>
      <c r="J196" s="114"/>
      <c r="IA196" s="27"/>
      <c r="IB196" s="27"/>
      <c r="IC196" s="27"/>
      <c r="ID196" s="27"/>
      <c r="IE196" s="27"/>
      <c r="IF196" s="27"/>
      <c r="IG196" s="27"/>
      <c r="IH196" s="27"/>
      <c r="II196" s="27"/>
    </row>
    <row r="197" spans="1:248" s="27" customFormat="1" ht="15.75" customHeight="1">
      <c r="A197" s="219" t="s">
        <v>53</v>
      </c>
      <c r="B197" s="219"/>
      <c r="C197" s="219"/>
      <c r="D197" s="142">
        <v>180</v>
      </c>
      <c r="E197" s="143">
        <f>1.73/1000*180</f>
        <v>0.3114</v>
      </c>
      <c r="F197" s="144">
        <f>0.45/1000*180</f>
        <v>0.081</v>
      </c>
      <c r="G197" s="144">
        <f>146.85/1000*180</f>
        <v>26.432999999999996</v>
      </c>
      <c r="H197" s="145">
        <f>602/1000*180</f>
        <v>108.36</v>
      </c>
      <c r="I197" s="146">
        <v>376</v>
      </c>
      <c r="J197" s="114"/>
      <c r="HX197" s="28"/>
      <c r="HY197" s="28"/>
      <c r="HZ197" s="28"/>
      <c r="IA197" s="28"/>
      <c r="IB197" s="28"/>
      <c r="IC197" s="28"/>
      <c r="ID197" s="28"/>
      <c r="IE197" s="28"/>
      <c r="IF197" s="28"/>
      <c r="IG197" s="28"/>
      <c r="IH197" s="28"/>
      <c r="II197" s="28"/>
      <c r="IJ197" s="28"/>
      <c r="IK197" s="28"/>
      <c r="IL197" s="28"/>
      <c r="IM197" s="28"/>
      <c r="IN197" s="28"/>
    </row>
    <row r="198" spans="1:10" ht="16.5" customHeight="1">
      <c r="A198" s="220" t="s">
        <v>23</v>
      </c>
      <c r="B198" s="220"/>
      <c r="C198" s="220"/>
      <c r="D198" s="119">
        <f>SUM(D192:D197)</f>
        <v>770</v>
      </c>
      <c r="E198" s="44">
        <f>SUM(E192:E197)</f>
        <v>21.424300000000002</v>
      </c>
      <c r="F198" s="45">
        <f>SUM(F192:F197)</f>
        <v>13.7197</v>
      </c>
      <c r="G198" s="45">
        <f>SUM(G192:G197)</f>
        <v>117.23939999999999</v>
      </c>
      <c r="H198" s="46">
        <f>SUM(H192:H197)</f>
        <v>657.86</v>
      </c>
      <c r="I198" s="47"/>
      <c r="J198" s="139"/>
    </row>
    <row r="199" spans="1:10" ht="16.5" customHeight="1">
      <c r="A199" s="203" t="s">
        <v>24</v>
      </c>
      <c r="B199" s="203"/>
      <c r="C199" s="203"/>
      <c r="D199" s="203"/>
      <c r="E199" s="69">
        <f>E190+E198</f>
        <v>37.864900000000006</v>
      </c>
      <c r="F199" s="70">
        <f>F190+F198</f>
        <v>28.976300000000002</v>
      </c>
      <c r="G199" s="70">
        <f>G190+G198</f>
        <v>162.3996</v>
      </c>
      <c r="H199" s="71">
        <f>H190+H198</f>
        <v>1041.48</v>
      </c>
      <c r="I199" s="120"/>
      <c r="J199" s="122"/>
    </row>
    <row r="200" spans="1:9" ht="15.75" customHeight="1">
      <c r="A200" s="183" t="s">
        <v>71</v>
      </c>
      <c r="B200" s="183"/>
      <c r="C200" s="183"/>
      <c r="D200" s="84"/>
      <c r="E200" s="48"/>
      <c r="F200" s="48"/>
      <c r="G200" s="48"/>
      <c r="H200" s="48"/>
      <c r="I200" s="48"/>
    </row>
    <row r="201" spans="1:9" ht="16.5" customHeight="1">
      <c r="A201" s="184" t="s">
        <v>1</v>
      </c>
      <c r="B201" s="184"/>
      <c r="C201" s="184"/>
      <c r="D201" s="10"/>
      <c r="E201" s="50"/>
      <c r="F201" s="50"/>
      <c r="G201" s="50"/>
      <c r="H201" s="50"/>
      <c r="I201" s="50"/>
    </row>
    <row r="202" spans="1:10" ht="16.5" customHeight="1">
      <c r="A202" s="194" t="s">
        <v>72</v>
      </c>
      <c r="B202" s="194"/>
      <c r="C202" s="194"/>
      <c r="D202" s="194"/>
      <c r="E202" s="194"/>
      <c r="F202" s="194"/>
      <c r="G202" s="194"/>
      <c r="H202" s="194"/>
      <c r="I202" s="194"/>
      <c r="J202" s="111"/>
    </row>
    <row r="203" spans="1:10" ht="20.25" customHeight="1">
      <c r="A203" s="218" t="s">
        <v>3</v>
      </c>
      <c r="B203" s="218" t="s">
        <v>3</v>
      </c>
      <c r="C203" s="218"/>
      <c r="D203" s="185" t="s">
        <v>4</v>
      </c>
      <c r="E203" s="198" t="s">
        <v>5</v>
      </c>
      <c r="F203" s="198"/>
      <c r="G203" s="198"/>
      <c r="H203" s="199" t="s">
        <v>6</v>
      </c>
      <c r="I203" s="185" t="s">
        <v>7</v>
      </c>
      <c r="J203" s="111"/>
    </row>
    <row r="204" spans="1:10" ht="18.75" customHeight="1">
      <c r="A204" s="218"/>
      <c r="B204" s="218"/>
      <c r="C204" s="218"/>
      <c r="D204" s="185"/>
      <c r="E204" s="51" t="s">
        <v>8</v>
      </c>
      <c r="F204" s="52" t="s">
        <v>9</v>
      </c>
      <c r="G204" s="52" t="s">
        <v>10</v>
      </c>
      <c r="H204" s="199"/>
      <c r="I204" s="185"/>
      <c r="J204" s="111"/>
    </row>
    <row r="205" spans="1:10" ht="16.5" customHeight="1">
      <c r="A205" s="189" t="s">
        <v>11</v>
      </c>
      <c r="B205" s="189"/>
      <c r="C205" s="189"/>
      <c r="D205" s="189"/>
      <c r="E205" s="189"/>
      <c r="F205" s="189"/>
      <c r="G205" s="189"/>
      <c r="H205" s="189"/>
      <c r="I205" s="189"/>
      <c r="J205" s="111"/>
    </row>
    <row r="206" spans="1:10" ht="15.75" customHeight="1">
      <c r="A206" s="221" t="s">
        <v>43</v>
      </c>
      <c r="B206" s="221"/>
      <c r="C206" s="221"/>
      <c r="D206" s="11">
        <v>60</v>
      </c>
      <c r="E206" s="81">
        <v>1.0242</v>
      </c>
      <c r="F206" s="82">
        <v>3.0024</v>
      </c>
      <c r="G206" s="82">
        <v>5.0748</v>
      </c>
      <c r="H206" s="83">
        <v>51.42</v>
      </c>
      <c r="I206" s="11">
        <v>45</v>
      </c>
      <c r="J206" s="111"/>
    </row>
    <row r="207" spans="1:10" ht="15.75" customHeight="1">
      <c r="A207" s="191" t="s">
        <v>44</v>
      </c>
      <c r="B207" s="191"/>
      <c r="C207" s="191"/>
      <c r="D207" s="16">
        <v>180</v>
      </c>
      <c r="E207" s="17">
        <v>15.204</v>
      </c>
      <c r="F207" s="84">
        <v>8.88</v>
      </c>
      <c r="G207" s="18">
        <v>32.808</v>
      </c>
      <c r="H207" s="19">
        <v>272.4</v>
      </c>
      <c r="I207" s="20">
        <v>291</v>
      </c>
      <c r="J207" s="111"/>
    </row>
    <row r="208" spans="1:10" ht="15.75" customHeight="1">
      <c r="A208" s="191" t="s">
        <v>20</v>
      </c>
      <c r="B208" s="191"/>
      <c r="C208" s="191"/>
      <c r="D208" s="16">
        <v>40</v>
      </c>
      <c r="E208" s="17">
        <v>3.16</v>
      </c>
      <c r="F208" s="18">
        <v>0.4</v>
      </c>
      <c r="G208" s="18">
        <v>19.32</v>
      </c>
      <c r="H208" s="42">
        <v>94</v>
      </c>
      <c r="I208" s="20" t="s">
        <v>21</v>
      </c>
      <c r="J208" s="111"/>
    </row>
    <row r="209" spans="1:248" ht="15.75" customHeight="1">
      <c r="A209" s="201" t="s">
        <v>28</v>
      </c>
      <c r="B209" s="201"/>
      <c r="C209" s="201"/>
      <c r="D209" s="55" t="s">
        <v>29</v>
      </c>
      <c r="E209" s="53">
        <v>0.12</v>
      </c>
      <c r="F209" s="54">
        <v>0.02</v>
      </c>
      <c r="G209" s="54">
        <v>10.2</v>
      </c>
      <c r="H209" s="42">
        <v>41</v>
      </c>
      <c r="I209" s="20">
        <v>393</v>
      </c>
      <c r="J209" s="111"/>
      <c r="IJ209" s="27"/>
      <c r="IK209" s="27"/>
      <c r="IL209" s="27"/>
      <c r="IM209" s="27"/>
      <c r="IN209" s="27"/>
    </row>
    <row r="210" spans="1:10" ht="16.5" customHeight="1">
      <c r="A210" s="192" t="s">
        <v>45</v>
      </c>
      <c r="B210" s="192"/>
      <c r="C210" s="192"/>
      <c r="D210" s="22">
        <v>40</v>
      </c>
      <c r="E210" s="147">
        <f>6.7/100*50</f>
        <v>3.35</v>
      </c>
      <c r="F210" s="144">
        <f>7.55/100*50</f>
        <v>3.775</v>
      </c>
      <c r="G210" s="148">
        <f>72.06/100*50</f>
        <v>36.03</v>
      </c>
      <c r="H210" s="149">
        <f>383/100*50</f>
        <v>191.5</v>
      </c>
      <c r="I210" s="136" t="s">
        <v>21</v>
      </c>
      <c r="J210" s="138"/>
    </row>
    <row r="211" spans="1:10" ht="16.5" customHeight="1">
      <c r="A211" s="203" t="s">
        <v>15</v>
      </c>
      <c r="B211" s="203"/>
      <c r="C211" s="203"/>
      <c r="D211" s="29">
        <f>D206+D207+D210+187+D208</f>
        <v>507</v>
      </c>
      <c r="E211" s="110">
        <f>SUM(E206:E210)</f>
        <v>22.858200000000004</v>
      </c>
      <c r="F211" s="110">
        <f>SUM(F206:F210)</f>
        <v>16.0774</v>
      </c>
      <c r="G211" s="110">
        <f>SUM(G206:G210)</f>
        <v>103.4328</v>
      </c>
      <c r="H211" s="110">
        <f>SUM(H206:H210)</f>
        <v>650.3199999999999</v>
      </c>
      <c r="I211" s="33"/>
      <c r="J211" s="111"/>
    </row>
    <row r="212" spans="1:10" ht="16.5" customHeight="1">
      <c r="A212" s="194" t="s">
        <v>16</v>
      </c>
      <c r="B212" s="194"/>
      <c r="C212" s="194"/>
      <c r="D212" s="194"/>
      <c r="E212" s="194"/>
      <c r="F212" s="194"/>
      <c r="G212" s="194"/>
      <c r="H212" s="194"/>
      <c r="I212" s="194"/>
      <c r="J212" s="111"/>
    </row>
    <row r="213" spans="1:234" s="27" customFormat="1" ht="15.75" customHeight="1">
      <c r="A213" s="190" t="s">
        <v>65</v>
      </c>
      <c r="B213" s="190"/>
      <c r="C213" s="190"/>
      <c r="D213" s="11">
        <v>250</v>
      </c>
      <c r="E213" s="133">
        <f>8.07/1000*250</f>
        <v>2.0175</v>
      </c>
      <c r="F213" s="134">
        <f>20.3/1000*250</f>
        <v>5.075</v>
      </c>
      <c r="G213" s="134">
        <f>47.92/1000*250</f>
        <v>11.98</v>
      </c>
      <c r="H213" s="135">
        <f>429/1000*250</f>
        <v>107.25</v>
      </c>
      <c r="I213" s="15">
        <v>96</v>
      </c>
      <c r="J213" s="114"/>
      <c r="HR213" s="1"/>
      <c r="HS213" s="1"/>
      <c r="HT213" s="1"/>
      <c r="HU213" s="1"/>
      <c r="HV213" s="1"/>
      <c r="HW213" s="1"/>
      <c r="HX213" s="1"/>
      <c r="HY213" s="1"/>
      <c r="HZ213" s="1"/>
    </row>
    <row r="214" spans="1:234" ht="15.75" customHeight="1">
      <c r="A214" s="191" t="s">
        <v>47</v>
      </c>
      <c r="B214" s="191"/>
      <c r="C214" s="191"/>
      <c r="D214" s="16">
        <v>180</v>
      </c>
      <c r="E214" s="53">
        <v>12.5</v>
      </c>
      <c r="F214" s="54">
        <v>11.17</v>
      </c>
      <c r="G214" s="54">
        <v>12.9</v>
      </c>
      <c r="H214" s="42">
        <v>202</v>
      </c>
      <c r="I214" s="20">
        <v>292</v>
      </c>
      <c r="J214" s="114"/>
      <c r="HR214" s="100"/>
      <c r="HS214" s="100"/>
      <c r="HT214" s="100"/>
      <c r="HU214" s="100"/>
      <c r="HV214" s="100"/>
      <c r="HW214" s="100"/>
      <c r="HX214" s="100"/>
      <c r="HY214" s="100"/>
      <c r="HZ214" s="100"/>
    </row>
    <row r="215" spans="1:10" ht="15.75" customHeight="1">
      <c r="A215" s="191" t="s">
        <v>33</v>
      </c>
      <c r="B215" s="191"/>
      <c r="C215" s="191"/>
      <c r="D215" s="16">
        <v>30</v>
      </c>
      <c r="E215" s="17">
        <v>2.37</v>
      </c>
      <c r="F215" s="18">
        <v>0.30000000000000004</v>
      </c>
      <c r="G215" s="18">
        <v>14.49</v>
      </c>
      <c r="H215" s="42">
        <v>70.5</v>
      </c>
      <c r="I215" s="20" t="s">
        <v>21</v>
      </c>
      <c r="J215" s="114"/>
    </row>
    <row r="216" spans="1:10" ht="15.75" customHeight="1">
      <c r="A216" s="191" t="s">
        <v>22</v>
      </c>
      <c r="B216" s="191"/>
      <c r="C216" s="191"/>
      <c r="D216" s="16">
        <v>30</v>
      </c>
      <c r="E216" s="53">
        <v>1.98</v>
      </c>
      <c r="F216" s="54">
        <v>0.36</v>
      </c>
      <c r="G216" s="54">
        <v>10.02</v>
      </c>
      <c r="H216" s="42">
        <v>52.2</v>
      </c>
      <c r="I216" s="20" t="s">
        <v>21</v>
      </c>
      <c r="J216" s="114"/>
    </row>
    <row r="217" spans="1:248" s="27" customFormat="1" ht="15.75" customHeight="1">
      <c r="A217" s="191" t="s">
        <v>14</v>
      </c>
      <c r="B217" s="191"/>
      <c r="C217" s="191"/>
      <c r="D217" s="16">
        <v>180</v>
      </c>
      <c r="E217" s="53">
        <v>0.06</v>
      </c>
      <c r="F217" s="54">
        <v>0.02</v>
      </c>
      <c r="G217" s="54">
        <v>9.99</v>
      </c>
      <c r="H217" s="42">
        <v>40</v>
      </c>
      <c r="I217" s="20">
        <v>392</v>
      </c>
      <c r="J217" s="114"/>
      <c r="HX217" s="28"/>
      <c r="HY217" s="28"/>
      <c r="HZ217" s="28"/>
      <c r="IA217" s="28"/>
      <c r="IB217" s="28"/>
      <c r="IC217" s="28"/>
      <c r="ID217" s="28"/>
      <c r="IE217" s="28"/>
      <c r="IF217" s="28"/>
      <c r="IG217" s="28"/>
      <c r="IH217" s="28"/>
      <c r="II217" s="28"/>
      <c r="IJ217" s="28"/>
      <c r="IK217" s="28"/>
      <c r="IL217" s="28"/>
      <c r="IM217" s="28"/>
      <c r="IN217" s="28"/>
    </row>
    <row r="218" spans="1:10" ht="16.5" customHeight="1">
      <c r="A218" s="195" t="s">
        <v>23</v>
      </c>
      <c r="B218" s="195"/>
      <c r="C218" s="195"/>
      <c r="D218" s="35">
        <f>SUM(D213:D217)</f>
        <v>670</v>
      </c>
      <c r="E218" s="132">
        <f>SUM(E213:E217)</f>
        <v>18.9275</v>
      </c>
      <c r="F218" s="132">
        <f>SUM(F213:F217)</f>
        <v>16.925</v>
      </c>
      <c r="G218" s="132">
        <f>SUM(G213:G217)</f>
        <v>59.38</v>
      </c>
      <c r="H218" s="132">
        <f>SUM(H213:H217)</f>
        <v>471.95</v>
      </c>
      <c r="I218" s="68"/>
      <c r="J218" s="121"/>
    </row>
    <row r="219" spans="1:10" ht="16.5" customHeight="1">
      <c r="A219" s="203" t="s">
        <v>34</v>
      </c>
      <c r="B219" s="203"/>
      <c r="C219" s="203"/>
      <c r="D219" s="203"/>
      <c r="E219" s="44">
        <f>E211+E218</f>
        <v>41.785700000000006</v>
      </c>
      <c r="F219" s="45">
        <f>F211+F218</f>
        <v>33.0024</v>
      </c>
      <c r="G219" s="45">
        <f>G211+G218</f>
        <v>162.8128</v>
      </c>
      <c r="H219" s="46">
        <f>H211+H218</f>
        <v>1122.27</v>
      </c>
      <c r="I219" s="47"/>
      <c r="J219" s="111"/>
    </row>
    <row r="220" spans="1:9" ht="15.75" customHeight="1">
      <c r="A220" s="183" t="s">
        <v>71</v>
      </c>
      <c r="B220" s="183"/>
      <c r="C220" s="183"/>
      <c r="D220" s="84"/>
      <c r="E220" s="48"/>
      <c r="F220" s="48"/>
      <c r="G220" s="48"/>
      <c r="H220" s="48"/>
      <c r="I220" s="48"/>
    </row>
    <row r="221" spans="1:9" ht="16.5" customHeight="1">
      <c r="A221" s="184" t="s">
        <v>1</v>
      </c>
      <c r="B221" s="184"/>
      <c r="C221" s="184"/>
      <c r="D221" s="10"/>
      <c r="E221" s="50"/>
      <c r="F221" s="50"/>
      <c r="G221" s="50"/>
      <c r="H221" s="50"/>
      <c r="I221" s="50"/>
    </row>
    <row r="222" spans="1:10" ht="15.75" customHeight="1">
      <c r="A222" s="212" t="s">
        <v>73</v>
      </c>
      <c r="B222" s="212"/>
      <c r="C222" s="212"/>
      <c r="D222" s="212"/>
      <c r="E222" s="212"/>
      <c r="F222" s="212"/>
      <c r="G222" s="212"/>
      <c r="H222" s="212"/>
      <c r="I222" s="212"/>
      <c r="J222" s="111"/>
    </row>
    <row r="223" spans="1:10" ht="24.75" customHeight="1">
      <c r="A223" s="218" t="s">
        <v>3</v>
      </c>
      <c r="B223" s="218"/>
      <c r="C223" s="218"/>
      <c r="D223" s="185" t="s">
        <v>4</v>
      </c>
      <c r="E223" s="198" t="s">
        <v>5</v>
      </c>
      <c r="F223" s="198"/>
      <c r="G223" s="198"/>
      <c r="H223" s="199" t="s">
        <v>6</v>
      </c>
      <c r="I223" s="185" t="s">
        <v>7</v>
      </c>
      <c r="J223" s="111"/>
    </row>
    <row r="224" spans="1:10" ht="18.75" customHeight="1">
      <c r="A224" s="218"/>
      <c r="B224" s="218"/>
      <c r="C224" s="218"/>
      <c r="D224" s="185"/>
      <c r="E224" s="51" t="s">
        <v>8</v>
      </c>
      <c r="F224" s="52" t="s">
        <v>9</v>
      </c>
      <c r="G224" s="52" t="s">
        <v>10</v>
      </c>
      <c r="H224" s="199"/>
      <c r="I224" s="185"/>
      <c r="J224" s="111"/>
    </row>
    <row r="225" spans="1:10" ht="15.75" customHeight="1">
      <c r="A225" s="185" t="s">
        <v>11</v>
      </c>
      <c r="B225" s="185"/>
      <c r="C225" s="185"/>
      <c r="D225" s="185"/>
      <c r="E225" s="185"/>
      <c r="F225" s="185"/>
      <c r="G225" s="185"/>
      <c r="H225" s="185"/>
      <c r="I225" s="185"/>
      <c r="J225" s="111"/>
    </row>
    <row r="226" spans="1:10" ht="16.5" customHeight="1">
      <c r="A226" s="190" t="s">
        <v>12</v>
      </c>
      <c r="B226" s="190"/>
      <c r="C226" s="190"/>
      <c r="D226" s="11">
        <v>120</v>
      </c>
      <c r="E226" s="12">
        <f>10.23/70*120</f>
        <v>17.537142857142857</v>
      </c>
      <c r="F226" s="13">
        <f>7.74/70*120</f>
        <v>13.268571428571429</v>
      </c>
      <c r="G226" s="13">
        <v>47.6</v>
      </c>
      <c r="H226" s="14">
        <f>189/70*120</f>
        <v>324</v>
      </c>
      <c r="I226" s="15">
        <v>223</v>
      </c>
      <c r="J226" s="111"/>
    </row>
    <row r="227" spans="1:10" ht="16.5" customHeight="1">
      <c r="A227" s="191" t="s">
        <v>13</v>
      </c>
      <c r="B227" s="191"/>
      <c r="C227" s="191"/>
      <c r="D227" s="16">
        <v>120</v>
      </c>
      <c r="E227" s="17">
        <v>0.48</v>
      </c>
      <c r="F227" s="18">
        <v>0.48</v>
      </c>
      <c r="G227" s="18">
        <v>11.76</v>
      </c>
      <c r="H227" s="19">
        <v>56.4</v>
      </c>
      <c r="I227" s="20">
        <v>338</v>
      </c>
      <c r="J227" s="113"/>
    </row>
    <row r="228" spans="1:243" s="27" customFormat="1" ht="15.75" customHeight="1">
      <c r="A228" s="192" t="s">
        <v>14</v>
      </c>
      <c r="B228" s="192"/>
      <c r="C228" s="192"/>
      <c r="D228" s="22">
        <v>180</v>
      </c>
      <c r="E228" s="23">
        <v>0.06</v>
      </c>
      <c r="F228" s="24">
        <v>0.02</v>
      </c>
      <c r="G228" s="24">
        <v>9.99</v>
      </c>
      <c r="H228" s="25">
        <v>40</v>
      </c>
      <c r="I228" s="26">
        <v>392</v>
      </c>
      <c r="J228" s="113"/>
      <c r="HR228" s="28"/>
      <c r="HS228" s="28"/>
      <c r="HT228" s="28"/>
      <c r="HU228" s="28"/>
      <c r="HV228" s="28"/>
      <c r="HW228" s="28"/>
      <c r="HX228" s="28"/>
      <c r="HY228" s="28"/>
      <c r="HZ228" s="28"/>
      <c r="IA228" s="28"/>
      <c r="IB228" s="28"/>
      <c r="IC228" s="28"/>
      <c r="ID228" s="28"/>
      <c r="IE228" s="28"/>
      <c r="IF228" s="28"/>
      <c r="IG228" s="28"/>
      <c r="IH228" s="28"/>
      <c r="II228" s="28"/>
    </row>
    <row r="229" spans="1:10" ht="15.75" customHeight="1">
      <c r="A229" s="203" t="s">
        <v>15</v>
      </c>
      <c r="B229" s="203"/>
      <c r="C229" s="203"/>
      <c r="D229" s="29">
        <f>SUM(D226:D228)</f>
        <v>420</v>
      </c>
      <c r="E229" s="110">
        <f>SUM(E226:E228)</f>
        <v>18.077142857142857</v>
      </c>
      <c r="F229" s="110">
        <f>SUM(F226:F228)</f>
        <v>13.768571428571429</v>
      </c>
      <c r="G229" s="110">
        <f>SUM(G226:G228)</f>
        <v>69.35</v>
      </c>
      <c r="H229" s="110">
        <f>SUM(H226:H228)</f>
        <v>420.4</v>
      </c>
      <c r="I229" s="33"/>
      <c r="J229" s="127"/>
    </row>
    <row r="230" spans="1:10" ht="17.25" customHeight="1">
      <c r="A230" s="185" t="s">
        <v>16</v>
      </c>
      <c r="B230" s="185"/>
      <c r="C230" s="185"/>
      <c r="D230" s="185"/>
      <c r="E230" s="185"/>
      <c r="F230" s="185"/>
      <c r="G230" s="185"/>
      <c r="H230" s="185"/>
      <c r="I230" s="185"/>
      <c r="J230" s="127"/>
    </row>
    <row r="231" spans="1:248" ht="15.75" customHeight="1">
      <c r="A231" s="190" t="s">
        <v>68</v>
      </c>
      <c r="B231" s="190"/>
      <c r="C231" s="190"/>
      <c r="D231" s="11">
        <v>250</v>
      </c>
      <c r="E231" s="12">
        <v>1.65</v>
      </c>
      <c r="F231" s="13">
        <v>4.01</v>
      </c>
      <c r="G231" s="13">
        <v>10.75</v>
      </c>
      <c r="H231" s="14">
        <v>93.6</v>
      </c>
      <c r="I231" s="11">
        <v>83</v>
      </c>
      <c r="J231" s="114"/>
      <c r="IJ231" s="27"/>
      <c r="IK231" s="27"/>
      <c r="IL231" s="27"/>
      <c r="IM231" s="27"/>
      <c r="IN231" s="27"/>
    </row>
    <row r="232" spans="1:10" ht="15.75" customHeight="1">
      <c r="A232" s="191" t="s">
        <v>74</v>
      </c>
      <c r="B232" s="191"/>
      <c r="C232" s="191"/>
      <c r="D232" s="16">
        <v>75</v>
      </c>
      <c r="E232" s="17">
        <f>12.624/90*75</f>
        <v>10.520000000000001</v>
      </c>
      <c r="F232" s="18">
        <f>8.58/90*75</f>
        <v>7.15</v>
      </c>
      <c r="G232" s="18">
        <f>2.568/90*75</f>
        <v>2.14</v>
      </c>
      <c r="H232" s="19">
        <f>138/90*75</f>
        <v>115.00000000000001</v>
      </c>
      <c r="I232" s="20">
        <v>228</v>
      </c>
      <c r="J232" s="114"/>
    </row>
    <row r="233" spans="1:243" ht="15.75" customHeight="1">
      <c r="A233" s="222" t="s">
        <v>27</v>
      </c>
      <c r="B233" s="222"/>
      <c r="C233" s="222"/>
      <c r="D233" s="16">
        <v>180</v>
      </c>
      <c r="E233" s="53">
        <f>20.43/1000*180</f>
        <v>3.6774</v>
      </c>
      <c r="F233" s="54">
        <f>32.01/1000*180</f>
        <v>5.761799999999999</v>
      </c>
      <c r="G233" s="54">
        <f>136.26/1000*180</f>
        <v>24.526799999999998</v>
      </c>
      <c r="H233" s="42">
        <f>915/1000*180</f>
        <v>164.70000000000002</v>
      </c>
      <c r="I233" s="16">
        <v>312</v>
      </c>
      <c r="J233" s="114"/>
      <c r="IA233" s="27"/>
      <c r="IB233" s="27"/>
      <c r="IC233" s="27"/>
      <c r="ID233" s="27"/>
      <c r="IE233" s="27"/>
      <c r="IF233" s="27"/>
      <c r="IG233" s="27"/>
      <c r="IH233" s="27"/>
      <c r="II233" s="27"/>
    </row>
    <row r="234" spans="1:10" ht="15.75" customHeight="1">
      <c r="A234" s="191" t="s">
        <v>33</v>
      </c>
      <c r="B234" s="191"/>
      <c r="C234" s="191"/>
      <c r="D234" s="16">
        <v>40</v>
      </c>
      <c r="E234" s="17">
        <v>3.16</v>
      </c>
      <c r="F234" s="18">
        <v>0.4</v>
      </c>
      <c r="G234" s="18">
        <v>19.32</v>
      </c>
      <c r="H234" s="42">
        <v>94</v>
      </c>
      <c r="I234" s="20" t="s">
        <v>21</v>
      </c>
      <c r="J234" s="114"/>
    </row>
    <row r="235" spans="1:10" ht="15.75" customHeight="1">
      <c r="A235" s="191" t="s">
        <v>22</v>
      </c>
      <c r="B235" s="191"/>
      <c r="C235" s="191"/>
      <c r="D235" s="16">
        <v>30</v>
      </c>
      <c r="E235" s="53">
        <v>1.98</v>
      </c>
      <c r="F235" s="54">
        <v>0.36</v>
      </c>
      <c r="G235" s="54">
        <v>10.02</v>
      </c>
      <c r="H235" s="42">
        <v>52.2</v>
      </c>
      <c r="I235" s="20" t="s">
        <v>21</v>
      </c>
      <c r="J235" s="114"/>
    </row>
    <row r="236" spans="1:248" ht="15" customHeight="1">
      <c r="A236" s="192" t="s">
        <v>28</v>
      </c>
      <c r="B236" s="192"/>
      <c r="C236" s="192"/>
      <c r="D236" s="150" t="s">
        <v>29</v>
      </c>
      <c r="E236" s="23">
        <v>0.12</v>
      </c>
      <c r="F236" s="24">
        <v>0.02</v>
      </c>
      <c r="G236" s="24">
        <v>10.2</v>
      </c>
      <c r="H236" s="25">
        <v>41</v>
      </c>
      <c r="I236" s="26">
        <v>393</v>
      </c>
      <c r="J236" s="114"/>
      <c r="IJ236" s="27"/>
      <c r="IK236" s="27"/>
      <c r="IL236" s="27"/>
      <c r="IM236" s="27"/>
      <c r="IN236" s="27"/>
    </row>
    <row r="237" spans="1:10" ht="16.5" customHeight="1">
      <c r="A237" s="203" t="s">
        <v>23</v>
      </c>
      <c r="B237" s="203"/>
      <c r="C237" s="203"/>
      <c r="D237" s="151">
        <f>D231+D232+D233+D234+D235+187</f>
        <v>762</v>
      </c>
      <c r="E237" s="30">
        <f>SUM(E231:E236)</f>
        <v>21.107400000000005</v>
      </c>
      <c r="F237" s="30">
        <f>SUM(F231:F236)</f>
        <v>17.701799999999995</v>
      </c>
      <c r="G237" s="30">
        <f>SUM(G231:G236)</f>
        <v>76.9568</v>
      </c>
      <c r="H237" s="30">
        <f>SUM(H231:H236)</f>
        <v>560.5000000000001</v>
      </c>
      <c r="I237" s="33"/>
      <c r="J237" s="121"/>
    </row>
    <row r="238" spans="1:10" ht="16.5" customHeight="1">
      <c r="A238" s="223" t="s">
        <v>24</v>
      </c>
      <c r="B238" s="223"/>
      <c r="C238" s="223"/>
      <c r="D238" s="223"/>
      <c r="E238" s="44">
        <f>E229+E237</f>
        <v>39.18454285714286</v>
      </c>
      <c r="F238" s="45">
        <f>F229+F237</f>
        <v>31.470371428571426</v>
      </c>
      <c r="G238" s="45">
        <f>G229+G237</f>
        <v>146.3068</v>
      </c>
      <c r="H238" s="46">
        <f>H229+H237</f>
        <v>980.9000000000001</v>
      </c>
      <c r="I238" s="120"/>
      <c r="J238" s="111"/>
    </row>
    <row r="239" spans="1:9" ht="15.75" customHeight="1">
      <c r="A239" s="183" t="s">
        <v>71</v>
      </c>
      <c r="B239" s="183"/>
      <c r="C239" s="183"/>
      <c r="D239" s="84"/>
      <c r="E239" s="48"/>
      <c r="F239" s="48"/>
      <c r="G239" s="48"/>
      <c r="H239" s="48"/>
      <c r="I239" s="48"/>
    </row>
    <row r="240" spans="1:9" ht="16.5" customHeight="1">
      <c r="A240" s="184" t="s">
        <v>1</v>
      </c>
      <c r="B240" s="184"/>
      <c r="C240" s="184"/>
      <c r="D240" s="10"/>
      <c r="E240" s="50"/>
      <c r="F240" s="50"/>
      <c r="G240" s="50"/>
      <c r="H240" s="50"/>
      <c r="I240" s="50"/>
    </row>
    <row r="241" spans="1:10" ht="18" customHeight="1">
      <c r="A241" s="212" t="s">
        <v>75</v>
      </c>
      <c r="B241" s="212"/>
      <c r="C241" s="212"/>
      <c r="D241" s="212"/>
      <c r="E241" s="212"/>
      <c r="F241" s="212"/>
      <c r="G241" s="212"/>
      <c r="H241" s="212"/>
      <c r="I241" s="212"/>
      <c r="J241" s="111"/>
    </row>
    <row r="242" spans="1:10" ht="21.75" customHeight="1">
      <c r="A242" s="218" t="s">
        <v>3</v>
      </c>
      <c r="B242" s="218"/>
      <c r="C242" s="218"/>
      <c r="D242" s="185" t="s">
        <v>4</v>
      </c>
      <c r="E242" s="198" t="s">
        <v>5</v>
      </c>
      <c r="F242" s="198"/>
      <c r="G242" s="198"/>
      <c r="H242" s="199" t="s">
        <v>6</v>
      </c>
      <c r="I242" s="185" t="s">
        <v>7</v>
      </c>
      <c r="J242" s="111"/>
    </row>
    <row r="243" spans="1:10" ht="18.75" customHeight="1">
      <c r="A243" s="218"/>
      <c r="B243" s="218"/>
      <c r="C243" s="218"/>
      <c r="D243" s="185"/>
      <c r="E243" s="51" t="s">
        <v>8</v>
      </c>
      <c r="F243" s="52" t="s">
        <v>9</v>
      </c>
      <c r="G243" s="52" t="s">
        <v>10</v>
      </c>
      <c r="H243" s="199"/>
      <c r="I243" s="185"/>
      <c r="J243" s="111"/>
    </row>
    <row r="244" spans="1:243" ht="16.5" customHeight="1">
      <c r="A244" s="209" t="s">
        <v>11</v>
      </c>
      <c r="B244" s="209"/>
      <c r="C244" s="209"/>
      <c r="D244" s="209"/>
      <c r="E244" s="209"/>
      <c r="F244" s="209"/>
      <c r="G244" s="209"/>
      <c r="H244" s="209"/>
      <c r="I244" s="209"/>
      <c r="J244" s="111"/>
      <c r="IA244" s="27"/>
      <c r="IB244" s="27"/>
      <c r="IC244" s="27"/>
      <c r="ID244" s="27"/>
      <c r="IE244" s="27"/>
      <c r="IF244" s="27"/>
      <c r="IG244" s="27"/>
      <c r="IH244" s="27"/>
      <c r="II244" s="27"/>
    </row>
    <row r="245" spans="1:243" ht="15" customHeight="1">
      <c r="A245" s="190" t="s">
        <v>51</v>
      </c>
      <c r="B245" s="190"/>
      <c r="C245" s="190"/>
      <c r="D245" s="11">
        <v>155</v>
      </c>
      <c r="E245" s="81">
        <v>2.61285714285714</v>
      </c>
      <c r="F245" s="82">
        <v>16.2233333333333</v>
      </c>
      <c r="G245" s="82">
        <v>12.6952380952381</v>
      </c>
      <c r="H245" s="112">
        <v>209.619047619048</v>
      </c>
      <c r="I245" s="11">
        <v>143</v>
      </c>
      <c r="J245" s="111"/>
      <c r="IA245" s="27"/>
      <c r="IB245" s="27"/>
      <c r="IC245" s="27"/>
      <c r="ID245" s="27"/>
      <c r="IE245" s="27"/>
      <c r="IF245" s="27"/>
      <c r="IG245" s="27"/>
      <c r="IH245" s="27"/>
      <c r="II245" s="27"/>
    </row>
    <row r="246" spans="1:248" ht="15.75" customHeight="1">
      <c r="A246" s="191" t="s">
        <v>76</v>
      </c>
      <c r="B246" s="191"/>
      <c r="C246" s="191"/>
      <c r="D246" s="16">
        <v>90</v>
      </c>
      <c r="E246" s="17">
        <v>9.3825</v>
      </c>
      <c r="F246" s="18">
        <v>11.08125</v>
      </c>
      <c r="G246" s="18">
        <v>11.26125</v>
      </c>
      <c r="H246" s="61">
        <v>182.25</v>
      </c>
      <c r="I246" s="16">
        <v>294</v>
      </c>
      <c r="J246" s="111"/>
      <c r="IJ246" s="27"/>
      <c r="IK246" s="27"/>
      <c r="IL246" s="27"/>
      <c r="IM246" s="27"/>
      <c r="IN246" s="27"/>
    </row>
    <row r="247" spans="1:10" ht="15.75" customHeight="1">
      <c r="A247" s="191" t="s">
        <v>20</v>
      </c>
      <c r="B247" s="191"/>
      <c r="C247" s="191"/>
      <c r="D247" s="16">
        <v>40</v>
      </c>
      <c r="E247" s="17">
        <v>2.37</v>
      </c>
      <c r="F247" s="18">
        <v>0.30000000000000004</v>
      </c>
      <c r="G247" s="18">
        <v>14.49</v>
      </c>
      <c r="H247" s="42">
        <v>70.5</v>
      </c>
      <c r="I247" s="20" t="s">
        <v>21</v>
      </c>
      <c r="J247" s="111"/>
    </row>
    <row r="248" spans="1:248" s="27" customFormat="1" ht="15.75" customHeight="1">
      <c r="A248" s="192" t="s">
        <v>14</v>
      </c>
      <c r="B248" s="192"/>
      <c r="C248" s="192"/>
      <c r="D248" s="22">
        <v>180</v>
      </c>
      <c r="E248" s="63">
        <v>0.06</v>
      </c>
      <c r="F248" s="64">
        <v>0.02</v>
      </c>
      <c r="G248" s="64">
        <v>9.99</v>
      </c>
      <c r="H248" s="65">
        <v>40</v>
      </c>
      <c r="I248" s="26">
        <v>392</v>
      </c>
      <c r="J248" s="113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  <c r="IM248" s="28"/>
      <c r="IN248" s="28"/>
    </row>
    <row r="249" spans="1:243" ht="17.25" customHeight="1">
      <c r="A249" s="220" t="s">
        <v>15</v>
      </c>
      <c r="B249" s="220"/>
      <c r="C249" s="220"/>
      <c r="D249" s="119">
        <f>SUM(D245:D248)</f>
        <v>465</v>
      </c>
      <c r="E249" s="44">
        <f>SUM(E245:E248)</f>
        <v>14.42535714285714</v>
      </c>
      <c r="F249" s="45">
        <f>SUM(F245:F248)</f>
        <v>27.6245833333333</v>
      </c>
      <c r="G249" s="45">
        <f>SUM(G245:G248)</f>
        <v>48.436488095238104</v>
      </c>
      <c r="H249" s="46">
        <f>SUM(H245:H248)</f>
        <v>502.369047619048</v>
      </c>
      <c r="I249" s="120"/>
      <c r="J249" s="111"/>
      <c r="IA249" s="27"/>
      <c r="IB249" s="27"/>
      <c r="IC249" s="27"/>
      <c r="ID249" s="27"/>
      <c r="IE249" s="27"/>
      <c r="IF249" s="27"/>
      <c r="IG249" s="27"/>
      <c r="IH249" s="27"/>
      <c r="II249" s="27"/>
    </row>
    <row r="250" spans="1:243" ht="18.75" customHeight="1">
      <c r="A250" s="209" t="s">
        <v>16</v>
      </c>
      <c r="B250" s="209"/>
      <c r="C250" s="209"/>
      <c r="D250" s="209"/>
      <c r="E250" s="209"/>
      <c r="F250" s="209"/>
      <c r="G250" s="209"/>
      <c r="H250" s="209"/>
      <c r="I250" s="209"/>
      <c r="J250" s="111"/>
      <c r="IA250" s="27"/>
      <c r="IB250" s="27"/>
      <c r="IC250" s="27"/>
      <c r="ID250" s="27"/>
      <c r="IE250" s="27"/>
      <c r="IF250" s="27"/>
      <c r="IG250" s="27"/>
      <c r="IH250" s="27"/>
      <c r="II250" s="27"/>
    </row>
    <row r="251" spans="1:234" s="27" customFormat="1" ht="15" customHeight="1">
      <c r="A251" s="190" t="s">
        <v>77</v>
      </c>
      <c r="B251" s="190"/>
      <c r="C251" s="190"/>
      <c r="D251" s="152">
        <v>250</v>
      </c>
      <c r="E251" s="153">
        <v>7.34</v>
      </c>
      <c r="F251" s="154">
        <v>5.51</v>
      </c>
      <c r="G251" s="154">
        <v>2.41</v>
      </c>
      <c r="H251" s="155">
        <v>139.71</v>
      </c>
      <c r="I251" s="152">
        <v>104</v>
      </c>
      <c r="J251" s="114"/>
      <c r="HR251" s="1"/>
      <c r="HS251" s="1"/>
      <c r="HT251" s="1"/>
      <c r="HU251" s="1"/>
      <c r="HV251" s="1"/>
      <c r="HW251" s="1"/>
      <c r="HX251" s="1"/>
      <c r="HY251" s="1"/>
      <c r="HZ251" s="1"/>
    </row>
    <row r="252" spans="1:243" ht="15.75" customHeight="1">
      <c r="A252" s="191" t="s">
        <v>67</v>
      </c>
      <c r="B252" s="191"/>
      <c r="C252" s="191"/>
      <c r="D252" s="16">
        <v>170</v>
      </c>
      <c r="E252" s="17">
        <v>11.5056</v>
      </c>
      <c r="F252" s="18">
        <v>13.532</v>
      </c>
      <c r="G252" s="18">
        <v>28.9952</v>
      </c>
      <c r="H252" s="61">
        <v>284.24</v>
      </c>
      <c r="I252" s="20">
        <v>204</v>
      </c>
      <c r="J252" s="114"/>
      <c r="IA252" s="27"/>
      <c r="IB252" s="27"/>
      <c r="IC252" s="27"/>
      <c r="ID252" s="27"/>
      <c r="IE252" s="27"/>
      <c r="IF252" s="27"/>
      <c r="IG252" s="27"/>
      <c r="IH252" s="27"/>
      <c r="II252" s="27"/>
    </row>
    <row r="253" spans="1:248" s="27" customFormat="1" ht="15.75" customHeight="1">
      <c r="A253" s="191" t="s">
        <v>14</v>
      </c>
      <c r="B253" s="191"/>
      <c r="C253" s="191"/>
      <c r="D253" s="16">
        <v>180</v>
      </c>
      <c r="E253" s="53">
        <v>0.06</v>
      </c>
      <c r="F253" s="54">
        <v>0.02</v>
      </c>
      <c r="G253" s="54">
        <v>9.99</v>
      </c>
      <c r="H253" s="42">
        <v>40</v>
      </c>
      <c r="I253" s="20">
        <v>392</v>
      </c>
      <c r="J253" s="114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  <c r="IM253" s="28"/>
      <c r="IN253" s="28"/>
    </row>
    <row r="254" spans="1:243" ht="15.75" customHeight="1">
      <c r="A254" s="191" t="s">
        <v>33</v>
      </c>
      <c r="B254" s="191"/>
      <c r="C254" s="191"/>
      <c r="D254" s="16">
        <v>30</v>
      </c>
      <c r="E254" s="17">
        <v>2.37</v>
      </c>
      <c r="F254" s="18">
        <v>0.30000000000000004</v>
      </c>
      <c r="G254" s="18">
        <v>14.49</v>
      </c>
      <c r="H254" s="42">
        <v>70.5</v>
      </c>
      <c r="I254" s="20" t="s">
        <v>21</v>
      </c>
      <c r="J254" s="114"/>
      <c r="IA254" s="27"/>
      <c r="IB254" s="27"/>
      <c r="IC254" s="27"/>
      <c r="ID254" s="27"/>
      <c r="IE254" s="27"/>
      <c r="IF254" s="27"/>
      <c r="IG254" s="27"/>
      <c r="IH254" s="27"/>
      <c r="II254" s="27"/>
    </row>
    <row r="255" spans="1:243" ht="16.5" customHeight="1">
      <c r="A255" s="192" t="s">
        <v>22</v>
      </c>
      <c r="B255" s="192"/>
      <c r="C255" s="192"/>
      <c r="D255" s="22">
        <v>30</v>
      </c>
      <c r="E255" s="23">
        <v>1.98</v>
      </c>
      <c r="F255" s="24">
        <v>0.36</v>
      </c>
      <c r="G255" s="24">
        <v>10.02</v>
      </c>
      <c r="H255" s="25">
        <v>52.2</v>
      </c>
      <c r="I255" s="26" t="s">
        <v>21</v>
      </c>
      <c r="J255" s="114"/>
      <c r="IA255" s="27"/>
      <c r="IB255" s="27"/>
      <c r="IC255" s="27"/>
      <c r="ID255" s="27"/>
      <c r="IE255" s="27"/>
      <c r="IF255" s="27"/>
      <c r="IG255" s="27"/>
      <c r="IH255" s="27"/>
      <c r="II255" s="27"/>
    </row>
    <row r="256" spans="1:10" ht="17.25" customHeight="1">
      <c r="A256" s="193" t="s">
        <v>23</v>
      </c>
      <c r="B256" s="193"/>
      <c r="C256" s="193"/>
      <c r="D256" s="29">
        <f>SUM(D251:D255)</f>
        <v>660</v>
      </c>
      <c r="E256" s="30">
        <f>SUM(E251:E255)</f>
        <v>23.255599999999998</v>
      </c>
      <c r="F256" s="30">
        <f>SUM(F251:F255)</f>
        <v>19.722</v>
      </c>
      <c r="G256" s="30">
        <f>SUM(G251:G255)</f>
        <v>65.90520000000001</v>
      </c>
      <c r="H256" s="30">
        <f>SUM(H251:H255)</f>
        <v>586.6500000000001</v>
      </c>
      <c r="I256" s="137"/>
      <c r="J256" s="121"/>
    </row>
    <row r="257" spans="1:10" ht="17.25" customHeight="1">
      <c r="A257" s="224" t="s">
        <v>24</v>
      </c>
      <c r="B257" s="224"/>
      <c r="C257" s="224"/>
      <c r="D257" s="224"/>
      <c r="E257" s="44">
        <f>E249+E256</f>
        <v>37.68095714285714</v>
      </c>
      <c r="F257" s="45">
        <f>F249+F256</f>
        <v>47.3465833333333</v>
      </c>
      <c r="G257" s="45">
        <f>G249+G256</f>
        <v>114.34168809523811</v>
      </c>
      <c r="H257" s="46">
        <f>H249+H256</f>
        <v>1089.019047619048</v>
      </c>
      <c r="I257" s="47"/>
      <c r="J257" s="111"/>
    </row>
    <row r="258" spans="1:9" ht="16.5" customHeight="1">
      <c r="A258" s="183" t="s">
        <v>71</v>
      </c>
      <c r="B258" s="183"/>
      <c r="C258" s="183"/>
      <c r="D258" s="84"/>
      <c r="E258" s="48"/>
      <c r="F258" s="48"/>
      <c r="G258" s="48"/>
      <c r="H258" s="48"/>
      <c r="I258" s="48"/>
    </row>
    <row r="259" spans="1:9" ht="16.5" customHeight="1">
      <c r="A259" s="184" t="s">
        <v>1</v>
      </c>
      <c r="B259" s="184"/>
      <c r="C259" s="184"/>
      <c r="D259" s="10"/>
      <c r="E259" s="50"/>
      <c r="F259" s="50"/>
      <c r="G259" s="50"/>
      <c r="H259" s="50"/>
      <c r="I259" s="50"/>
    </row>
    <row r="260" spans="1:10" ht="17.25" customHeight="1">
      <c r="A260" s="185" t="s">
        <v>78</v>
      </c>
      <c r="B260" s="185"/>
      <c r="C260" s="185"/>
      <c r="D260" s="185"/>
      <c r="E260" s="185"/>
      <c r="F260" s="185"/>
      <c r="G260" s="185"/>
      <c r="H260" s="185"/>
      <c r="I260" s="185"/>
      <c r="J260" s="111"/>
    </row>
    <row r="261" spans="1:10" ht="21" customHeight="1">
      <c r="A261" s="225" t="s">
        <v>3</v>
      </c>
      <c r="B261" s="225"/>
      <c r="C261" s="225"/>
      <c r="D261" s="185" t="s">
        <v>4</v>
      </c>
      <c r="E261" s="187" t="s">
        <v>5</v>
      </c>
      <c r="F261" s="187"/>
      <c r="G261" s="187"/>
      <c r="H261" s="188" t="s">
        <v>6</v>
      </c>
      <c r="I261" s="185" t="s">
        <v>7</v>
      </c>
      <c r="J261" s="111"/>
    </row>
    <row r="262" spans="1:10" ht="20.25" customHeight="1">
      <c r="A262" s="225"/>
      <c r="B262" s="225"/>
      <c r="C262" s="225"/>
      <c r="D262" s="185"/>
      <c r="E262" s="9" t="s">
        <v>8</v>
      </c>
      <c r="F262" s="10" t="s">
        <v>9</v>
      </c>
      <c r="G262" s="10" t="s">
        <v>10</v>
      </c>
      <c r="H262" s="188"/>
      <c r="I262" s="185"/>
      <c r="J262" s="111"/>
    </row>
    <row r="263" spans="1:10" ht="15.75" customHeight="1">
      <c r="A263" s="212" t="s">
        <v>11</v>
      </c>
      <c r="B263" s="212"/>
      <c r="C263" s="212"/>
      <c r="D263" s="212"/>
      <c r="E263" s="212"/>
      <c r="F263" s="212"/>
      <c r="G263" s="212"/>
      <c r="H263" s="212"/>
      <c r="I263" s="212"/>
      <c r="J263" s="111"/>
    </row>
    <row r="264" spans="1:10" ht="16.5" customHeight="1">
      <c r="A264" s="190" t="s">
        <v>36</v>
      </c>
      <c r="B264" s="190"/>
      <c r="C264" s="190"/>
      <c r="D264" s="92">
        <v>210</v>
      </c>
      <c r="E264" s="156">
        <f>5.88642857142857/205*210</f>
        <v>6.0299999999999985</v>
      </c>
      <c r="F264" s="82">
        <f>10.46/205*210</f>
        <v>10.715121951219514</v>
      </c>
      <c r="G264" s="82">
        <f>31.61/205*210</f>
        <v>32.3809756097561</v>
      </c>
      <c r="H264" s="157">
        <f>245.02380952381/205*210</f>
        <v>251.0000000000005</v>
      </c>
      <c r="I264" s="15">
        <v>181</v>
      </c>
      <c r="J264" s="111"/>
    </row>
    <row r="265" spans="1:248" ht="16.5" customHeight="1">
      <c r="A265" s="191" t="s">
        <v>61</v>
      </c>
      <c r="B265" s="191"/>
      <c r="C265" s="191"/>
      <c r="D265" s="96">
        <v>180</v>
      </c>
      <c r="E265" s="97">
        <v>2.78</v>
      </c>
      <c r="F265" s="54">
        <v>0.67</v>
      </c>
      <c r="G265" s="54">
        <v>26</v>
      </c>
      <c r="H265" s="98">
        <v>125.11</v>
      </c>
      <c r="I265" s="20">
        <v>397</v>
      </c>
      <c r="J265" s="111"/>
      <c r="IJ265" s="27"/>
      <c r="IK265" s="27"/>
      <c r="IL265" s="27"/>
      <c r="IM265" s="27"/>
      <c r="IN265" s="27"/>
    </row>
    <row r="266" spans="1:243" ht="16.5" customHeight="1">
      <c r="A266" s="191" t="s">
        <v>20</v>
      </c>
      <c r="B266" s="191"/>
      <c r="C266" s="191"/>
      <c r="D266" s="96">
        <v>40</v>
      </c>
      <c r="E266" s="37">
        <v>3.16</v>
      </c>
      <c r="F266" s="18">
        <v>0.4</v>
      </c>
      <c r="G266" s="18">
        <v>19.32</v>
      </c>
      <c r="H266" s="98">
        <v>94</v>
      </c>
      <c r="I266" s="20" t="s">
        <v>21</v>
      </c>
      <c r="J266" s="111"/>
      <c r="IA266" s="27"/>
      <c r="IB266" s="27"/>
      <c r="IC266" s="27"/>
      <c r="ID266" s="27"/>
      <c r="IE266" s="27"/>
      <c r="IF266" s="27"/>
      <c r="IG266" s="27"/>
      <c r="IH266" s="27"/>
      <c r="II266" s="27"/>
    </row>
    <row r="267" spans="1:10" ht="16.5" customHeight="1">
      <c r="A267" s="192" t="s">
        <v>79</v>
      </c>
      <c r="B267" s="192"/>
      <c r="C267" s="192"/>
      <c r="D267" s="158">
        <v>150</v>
      </c>
      <c r="E267" s="159">
        <f>0.4/100*150</f>
        <v>0.6</v>
      </c>
      <c r="F267" s="160">
        <f>0.4/100*150</f>
        <v>0.6</v>
      </c>
      <c r="G267" s="160">
        <f>9.8/100*150</f>
        <v>14.700000000000001</v>
      </c>
      <c r="H267" s="161">
        <f>47/100*150</f>
        <v>70.5</v>
      </c>
      <c r="I267" s="146">
        <v>338</v>
      </c>
      <c r="J267" s="114"/>
    </row>
    <row r="268" spans="1:10" ht="16.5" customHeight="1">
      <c r="A268" s="203" t="s">
        <v>15</v>
      </c>
      <c r="B268" s="203"/>
      <c r="C268" s="203"/>
      <c r="D268" s="119">
        <f>SUM(D264:D267)</f>
        <v>580</v>
      </c>
      <c r="E268" s="69">
        <f>SUM(E264:E267)</f>
        <v>12.569999999999999</v>
      </c>
      <c r="F268" s="110">
        <f>SUM(F264:F267)</f>
        <v>12.385121951219514</v>
      </c>
      <c r="G268" s="110">
        <f>SUM(G264:G267)</f>
        <v>92.4009756097561</v>
      </c>
      <c r="H268" s="120">
        <f>SUM(H264:H267)</f>
        <v>540.6100000000006</v>
      </c>
      <c r="I268" s="120"/>
      <c r="J268" s="127"/>
    </row>
    <row r="269" spans="1:10" ht="15.75" customHeight="1">
      <c r="A269" s="185" t="s">
        <v>16</v>
      </c>
      <c r="B269" s="185"/>
      <c r="C269" s="185"/>
      <c r="D269" s="185"/>
      <c r="E269" s="185"/>
      <c r="F269" s="185"/>
      <c r="G269" s="185"/>
      <c r="H269" s="185"/>
      <c r="I269" s="185"/>
      <c r="J269" s="127"/>
    </row>
    <row r="270" spans="1:234" s="27" customFormat="1" ht="15.75" customHeight="1">
      <c r="A270" s="226" t="s">
        <v>52</v>
      </c>
      <c r="B270" s="226"/>
      <c r="C270" s="226"/>
      <c r="D270" s="11">
        <v>250</v>
      </c>
      <c r="E270" s="12">
        <f>9.37/1000*250</f>
        <v>2.3425</v>
      </c>
      <c r="F270" s="13">
        <f>11.31/1000*250</f>
        <v>2.8275</v>
      </c>
      <c r="G270" s="13">
        <f>67.48/1000*250</f>
        <v>16.87</v>
      </c>
      <c r="H270" s="14">
        <f>456/1000*250</f>
        <v>114</v>
      </c>
      <c r="I270" s="15">
        <v>97</v>
      </c>
      <c r="J270" s="114"/>
      <c r="HR270" s="1"/>
      <c r="HS270" s="1"/>
      <c r="HT270" s="1"/>
      <c r="HU270" s="1"/>
      <c r="HV270" s="1"/>
      <c r="HW270" s="1"/>
      <c r="HX270" s="1"/>
      <c r="HY270" s="1"/>
      <c r="HZ270" s="1"/>
    </row>
    <row r="271" spans="1:248" ht="15" customHeight="1">
      <c r="A271" s="201" t="s">
        <v>80</v>
      </c>
      <c r="B271" s="201"/>
      <c r="C271" s="201"/>
      <c r="D271" s="16">
        <v>170</v>
      </c>
      <c r="E271" s="17">
        <v>15.0025</v>
      </c>
      <c r="F271" s="18">
        <v>9.9875</v>
      </c>
      <c r="G271" s="18">
        <v>21.52625</v>
      </c>
      <c r="H271" s="19">
        <v>232.6875</v>
      </c>
      <c r="I271" s="20">
        <v>298</v>
      </c>
      <c r="J271" s="114"/>
      <c r="IJ271" s="27"/>
      <c r="IK271" s="27"/>
      <c r="IL271" s="27"/>
      <c r="IM271" s="27"/>
      <c r="IN271" s="27"/>
    </row>
    <row r="272" spans="1:248" s="27" customFormat="1" ht="15.75" customHeight="1">
      <c r="A272" s="191" t="s">
        <v>14</v>
      </c>
      <c r="B272" s="191"/>
      <c r="C272" s="191"/>
      <c r="D272" s="16">
        <v>180</v>
      </c>
      <c r="E272" s="53">
        <v>0.06</v>
      </c>
      <c r="F272" s="54">
        <v>0.02</v>
      </c>
      <c r="G272" s="54">
        <v>9.99</v>
      </c>
      <c r="H272" s="42">
        <v>40</v>
      </c>
      <c r="I272" s="20">
        <v>392</v>
      </c>
      <c r="J272" s="114"/>
      <c r="HX272" s="28"/>
      <c r="HY272" s="28"/>
      <c r="HZ272" s="28"/>
      <c r="IA272" s="28"/>
      <c r="IB272" s="28"/>
      <c r="IC272" s="28"/>
      <c r="ID272" s="28"/>
      <c r="IE272" s="28"/>
      <c r="IF272" s="28"/>
      <c r="IG272" s="28"/>
      <c r="IH272" s="28"/>
      <c r="II272" s="28"/>
      <c r="IJ272" s="28"/>
      <c r="IK272" s="28"/>
      <c r="IL272" s="28"/>
      <c r="IM272" s="28"/>
      <c r="IN272" s="28"/>
    </row>
    <row r="273" spans="1:10" ht="15.75" customHeight="1">
      <c r="A273" s="191" t="s">
        <v>33</v>
      </c>
      <c r="B273" s="191"/>
      <c r="C273" s="191"/>
      <c r="D273" s="16">
        <v>40</v>
      </c>
      <c r="E273" s="17">
        <v>3.16</v>
      </c>
      <c r="F273" s="18">
        <v>0.4</v>
      </c>
      <c r="G273" s="18">
        <v>19.32</v>
      </c>
      <c r="H273" s="42">
        <v>94</v>
      </c>
      <c r="I273" s="162" t="s">
        <v>21</v>
      </c>
      <c r="J273" s="114"/>
    </row>
    <row r="274" spans="1:10" ht="16.5" customHeight="1">
      <c r="A274" s="191" t="s">
        <v>22</v>
      </c>
      <c r="B274" s="191"/>
      <c r="C274" s="191"/>
      <c r="D274" s="16">
        <v>30</v>
      </c>
      <c r="E274" s="53">
        <v>1.98</v>
      </c>
      <c r="F274" s="54">
        <v>0.36</v>
      </c>
      <c r="G274" s="54">
        <v>10.02</v>
      </c>
      <c r="H274" s="42">
        <v>52.2</v>
      </c>
      <c r="I274" s="162" t="s">
        <v>21</v>
      </c>
      <c r="J274" s="114"/>
    </row>
    <row r="275" spans="1:10" ht="16.5" customHeight="1">
      <c r="A275" s="195" t="s">
        <v>23</v>
      </c>
      <c r="B275" s="195"/>
      <c r="C275" s="195"/>
      <c r="D275" s="35">
        <f>SUM(D270:D274)</f>
        <v>670</v>
      </c>
      <c r="E275" s="132">
        <f>SUM(E270:E274)</f>
        <v>22.544999999999998</v>
      </c>
      <c r="F275" s="132">
        <f>SUM(F270:F274)</f>
        <v>13.595</v>
      </c>
      <c r="G275" s="132">
        <f>SUM(G270:G274)</f>
        <v>77.72625000000001</v>
      </c>
      <c r="H275" s="132">
        <f>SUM(H270:H274)</f>
        <v>532.8875</v>
      </c>
      <c r="I275" s="68"/>
      <c r="J275" s="121"/>
    </row>
    <row r="276" spans="1:10" ht="16.5" customHeight="1">
      <c r="A276" s="203" t="s">
        <v>54</v>
      </c>
      <c r="B276" s="203"/>
      <c r="C276" s="203"/>
      <c r="D276" s="203"/>
      <c r="E276" s="44">
        <f>E268+E275</f>
        <v>35.114999999999995</v>
      </c>
      <c r="F276" s="45">
        <f>F268+F275</f>
        <v>25.980121951219516</v>
      </c>
      <c r="G276" s="45">
        <f>G268+G275</f>
        <v>170.12722560975612</v>
      </c>
      <c r="H276" s="46">
        <f>H268+H275</f>
        <v>1073.4975000000006</v>
      </c>
      <c r="I276" s="120"/>
      <c r="J276" s="111"/>
    </row>
    <row r="277" spans="1:10" s="27" customFormat="1" ht="15.75" customHeight="1">
      <c r="A277" s="183" t="s">
        <v>71</v>
      </c>
      <c r="B277" s="183"/>
      <c r="C277" s="183"/>
      <c r="D277" s="84"/>
      <c r="E277" s="48"/>
      <c r="F277" s="48"/>
      <c r="G277" s="48"/>
      <c r="H277" s="48"/>
      <c r="I277" s="48"/>
      <c r="J277" s="21"/>
    </row>
    <row r="278" spans="1:10" ht="16.5" customHeight="1">
      <c r="A278" s="184" t="s">
        <v>1</v>
      </c>
      <c r="B278" s="184"/>
      <c r="C278" s="184"/>
      <c r="D278" s="10"/>
      <c r="E278" s="50"/>
      <c r="F278" s="50"/>
      <c r="G278" s="50"/>
      <c r="H278" s="50"/>
      <c r="I278" s="50"/>
      <c r="J278" s="21"/>
    </row>
    <row r="279" spans="1:10" ht="18" customHeight="1">
      <c r="A279" s="212" t="s">
        <v>81</v>
      </c>
      <c r="B279" s="212"/>
      <c r="C279" s="212"/>
      <c r="D279" s="212"/>
      <c r="E279" s="212"/>
      <c r="F279" s="212"/>
      <c r="G279" s="212"/>
      <c r="H279" s="212"/>
      <c r="I279" s="212"/>
      <c r="J279" s="113"/>
    </row>
    <row r="280" spans="1:10" ht="20.25" customHeight="1">
      <c r="A280" s="218" t="s">
        <v>3</v>
      </c>
      <c r="B280" s="218"/>
      <c r="C280" s="218"/>
      <c r="D280" s="185" t="s">
        <v>4</v>
      </c>
      <c r="E280" s="198" t="s">
        <v>5</v>
      </c>
      <c r="F280" s="198"/>
      <c r="G280" s="198"/>
      <c r="H280" s="199" t="s">
        <v>6</v>
      </c>
      <c r="I280" s="185" t="s">
        <v>7</v>
      </c>
      <c r="J280" s="113"/>
    </row>
    <row r="281" spans="1:10" ht="20.25" customHeight="1">
      <c r="A281" s="218"/>
      <c r="B281" s="218"/>
      <c r="C281" s="218"/>
      <c r="D281" s="185"/>
      <c r="E281" s="51" t="s">
        <v>8</v>
      </c>
      <c r="F281" s="52" t="s">
        <v>9</v>
      </c>
      <c r="G281" s="52" t="s">
        <v>10</v>
      </c>
      <c r="H281" s="199"/>
      <c r="I281" s="185"/>
      <c r="J281" s="113"/>
    </row>
    <row r="282" spans="1:10" ht="15.75" customHeight="1">
      <c r="A282" s="185" t="s">
        <v>11</v>
      </c>
      <c r="B282" s="185"/>
      <c r="C282" s="185"/>
      <c r="D282" s="185"/>
      <c r="E282" s="185"/>
      <c r="F282" s="185"/>
      <c r="G282" s="185"/>
      <c r="H282" s="185"/>
      <c r="I282" s="185"/>
      <c r="J282" s="113"/>
    </row>
    <row r="283" spans="1:243" ht="15.75" customHeight="1">
      <c r="A283" s="204" t="s">
        <v>27</v>
      </c>
      <c r="B283" s="204"/>
      <c r="C283" s="204"/>
      <c r="D283" s="11">
        <v>150</v>
      </c>
      <c r="E283" s="53">
        <f>20.43/1000*150</f>
        <v>3.0645000000000002</v>
      </c>
      <c r="F283" s="54">
        <f>32.01/1000*150</f>
        <v>4.8015</v>
      </c>
      <c r="G283" s="54">
        <f>136.26/1000*150</f>
        <v>20.439</v>
      </c>
      <c r="H283" s="42">
        <f>915/1000*150</f>
        <v>137.25</v>
      </c>
      <c r="I283" s="11">
        <v>312</v>
      </c>
      <c r="J283" s="111"/>
      <c r="IA283" s="27"/>
      <c r="IB283" s="27"/>
      <c r="IC283" s="27"/>
      <c r="ID283" s="27"/>
      <c r="IE283" s="27"/>
      <c r="IF283" s="27"/>
      <c r="IG283" s="27"/>
      <c r="IH283" s="27"/>
      <c r="II283" s="27"/>
    </row>
    <row r="284" spans="1:243" ht="15.75" customHeight="1">
      <c r="A284" s="191" t="s">
        <v>26</v>
      </c>
      <c r="B284" s="191"/>
      <c r="C284" s="191"/>
      <c r="D284" s="16">
        <v>90</v>
      </c>
      <c r="E284" s="53">
        <v>9.75</v>
      </c>
      <c r="F284" s="54">
        <v>4.95</v>
      </c>
      <c r="G284" s="54">
        <v>3.8</v>
      </c>
      <c r="H284" s="42">
        <v>105</v>
      </c>
      <c r="I284" s="16">
        <v>229</v>
      </c>
      <c r="J284" s="111"/>
      <c r="IA284" s="27"/>
      <c r="IB284" s="27"/>
      <c r="IC284" s="27"/>
      <c r="ID284" s="27"/>
      <c r="IE284" s="27"/>
      <c r="IF284" s="27"/>
      <c r="IG284" s="27"/>
      <c r="IH284" s="27"/>
      <c r="II284" s="27"/>
    </row>
    <row r="285" spans="1:234" s="27" customFormat="1" ht="16.5" customHeight="1">
      <c r="A285" s="191" t="s">
        <v>28</v>
      </c>
      <c r="B285" s="191"/>
      <c r="C285" s="191"/>
      <c r="D285" s="163" t="s">
        <v>29</v>
      </c>
      <c r="E285" s="53">
        <v>0.12</v>
      </c>
      <c r="F285" s="54">
        <v>0.02</v>
      </c>
      <c r="G285" s="54">
        <v>10.2</v>
      </c>
      <c r="H285" s="42">
        <v>41</v>
      </c>
      <c r="I285" s="20">
        <v>393</v>
      </c>
      <c r="J285" s="113"/>
      <c r="HR285" s="1"/>
      <c r="HS285" s="1"/>
      <c r="HT285" s="1"/>
      <c r="HU285" s="1"/>
      <c r="HV285" s="1"/>
      <c r="HW285" s="1"/>
      <c r="HX285" s="1"/>
      <c r="HY285" s="1"/>
      <c r="HZ285" s="1"/>
    </row>
    <row r="286" spans="1:10" s="27" customFormat="1" ht="16.5" customHeight="1">
      <c r="A286" s="205" t="s">
        <v>20</v>
      </c>
      <c r="B286" s="205"/>
      <c r="C286" s="205"/>
      <c r="D286" s="62">
        <v>40</v>
      </c>
      <c r="E286" s="164">
        <v>3.16</v>
      </c>
      <c r="F286" s="165">
        <v>0.4</v>
      </c>
      <c r="G286" s="165">
        <v>19.32</v>
      </c>
      <c r="H286" s="65">
        <v>94</v>
      </c>
      <c r="I286" s="129" t="s">
        <v>21</v>
      </c>
      <c r="J286" s="113"/>
    </row>
    <row r="287" spans="1:10" ht="15.75" customHeight="1">
      <c r="A287" s="195" t="s">
        <v>15</v>
      </c>
      <c r="B287" s="195"/>
      <c r="C287" s="195"/>
      <c r="D287" s="35">
        <f>D283+D284+D286+187</f>
        <v>467</v>
      </c>
      <c r="E287" s="67">
        <f>SUM(E283:E286)</f>
        <v>16.0945</v>
      </c>
      <c r="F287" s="67">
        <f>SUM(F283:F286)</f>
        <v>10.1715</v>
      </c>
      <c r="G287" s="67">
        <f>SUM(G283:G286)</f>
        <v>53.759</v>
      </c>
      <c r="H287" s="47">
        <f>SUM(H283:H286)</f>
        <v>377.25</v>
      </c>
      <c r="I287" s="47"/>
      <c r="J287" s="113"/>
    </row>
    <row r="288" spans="1:10" ht="17.25" customHeight="1">
      <c r="A288" s="209" t="s">
        <v>16</v>
      </c>
      <c r="B288" s="209"/>
      <c r="C288" s="209"/>
      <c r="D288" s="209"/>
      <c r="E288" s="209"/>
      <c r="F288" s="209"/>
      <c r="G288" s="209"/>
      <c r="H288" s="209"/>
      <c r="I288" s="209"/>
      <c r="J288" s="113"/>
    </row>
    <row r="289" spans="1:10" ht="15.75" customHeight="1">
      <c r="A289" s="190" t="s">
        <v>82</v>
      </c>
      <c r="B289" s="190"/>
      <c r="C289" s="190"/>
      <c r="D289" s="11">
        <v>200</v>
      </c>
      <c r="E289" s="12">
        <v>2.85</v>
      </c>
      <c r="F289" s="13">
        <v>5.11</v>
      </c>
      <c r="G289" s="13">
        <v>14.16</v>
      </c>
      <c r="H289" s="14">
        <v>131.89</v>
      </c>
      <c r="I289" s="15">
        <v>84</v>
      </c>
      <c r="J289" s="114"/>
    </row>
    <row r="290" spans="1:10" ht="15" customHeight="1">
      <c r="A290" s="191" t="s">
        <v>18</v>
      </c>
      <c r="B290" s="191"/>
      <c r="C290" s="191"/>
      <c r="D290" s="16">
        <v>180</v>
      </c>
      <c r="E290" s="17">
        <f>57.32/1000*180</f>
        <v>10.3176</v>
      </c>
      <c r="F290" s="18">
        <f>40.62/1000*180</f>
        <v>7.311599999999999</v>
      </c>
      <c r="G290" s="18">
        <f>257.61/1000*180</f>
        <v>46.3698</v>
      </c>
      <c r="H290" s="19">
        <f>1625/1000*180</f>
        <v>292.5</v>
      </c>
      <c r="I290" s="20">
        <v>302</v>
      </c>
      <c r="J290" s="114"/>
    </row>
    <row r="291" spans="1:248" ht="15.75" customHeight="1">
      <c r="A291" s="191" t="s">
        <v>31</v>
      </c>
      <c r="B291" s="191"/>
      <c r="C291" s="191"/>
      <c r="D291" s="16">
        <v>100</v>
      </c>
      <c r="E291" s="17">
        <f>8.45/80*100</f>
        <v>10.5625</v>
      </c>
      <c r="F291" s="18">
        <f>9.85/80*100</f>
        <v>12.3125</v>
      </c>
      <c r="G291" s="18">
        <f>10.36/80*100</f>
        <v>12.950000000000001</v>
      </c>
      <c r="H291" s="19">
        <f>164/80*100</f>
        <v>204.99999999999997</v>
      </c>
      <c r="I291" s="16">
        <v>294</v>
      </c>
      <c r="J291" s="114"/>
      <c r="IJ291" s="27"/>
      <c r="IK291" s="27"/>
      <c r="IL291" s="27"/>
      <c r="IM291" s="27"/>
      <c r="IN291" s="27"/>
    </row>
    <row r="292" spans="1:10" s="27" customFormat="1" ht="15.75" customHeight="1">
      <c r="A292" s="191" t="s">
        <v>33</v>
      </c>
      <c r="B292" s="191"/>
      <c r="C292" s="191"/>
      <c r="D292" s="16">
        <v>30</v>
      </c>
      <c r="E292" s="17">
        <v>2.37</v>
      </c>
      <c r="F292" s="18">
        <v>0.30000000000000004</v>
      </c>
      <c r="G292" s="18">
        <v>14.49</v>
      </c>
      <c r="H292" s="42">
        <v>70.5</v>
      </c>
      <c r="I292" s="20" t="s">
        <v>21</v>
      </c>
      <c r="J292" s="114"/>
    </row>
    <row r="293" spans="1:10" ht="15.75" customHeight="1">
      <c r="A293" s="191" t="s">
        <v>22</v>
      </c>
      <c r="B293" s="191"/>
      <c r="C293" s="191"/>
      <c r="D293" s="16">
        <v>30</v>
      </c>
      <c r="E293" s="53">
        <v>1.98</v>
      </c>
      <c r="F293" s="54">
        <v>0.36</v>
      </c>
      <c r="G293" s="54">
        <v>10.02</v>
      </c>
      <c r="H293" s="42">
        <v>52.2</v>
      </c>
      <c r="I293" s="20" t="s">
        <v>21</v>
      </c>
      <c r="J293" s="114"/>
    </row>
    <row r="294" spans="1:248" s="27" customFormat="1" ht="15.75" customHeight="1">
      <c r="A294" s="192" t="s">
        <v>14</v>
      </c>
      <c r="B294" s="192"/>
      <c r="C294" s="192"/>
      <c r="D294" s="22">
        <v>180</v>
      </c>
      <c r="E294" s="23">
        <v>0.06</v>
      </c>
      <c r="F294" s="24">
        <v>0.02</v>
      </c>
      <c r="G294" s="24">
        <v>9.99</v>
      </c>
      <c r="H294" s="25">
        <v>40</v>
      </c>
      <c r="I294" s="26">
        <v>392</v>
      </c>
      <c r="J294" s="114"/>
      <c r="HX294" s="28"/>
      <c r="HY294" s="28"/>
      <c r="HZ294" s="28"/>
      <c r="IA294" s="28"/>
      <c r="IB294" s="28"/>
      <c r="IC294" s="28"/>
      <c r="ID294" s="28"/>
      <c r="IE294" s="28"/>
      <c r="IF294" s="28"/>
      <c r="IG294" s="28"/>
      <c r="IH294" s="28"/>
      <c r="II294" s="28"/>
      <c r="IJ294" s="28"/>
      <c r="IK294" s="28"/>
      <c r="IL294" s="28"/>
      <c r="IM294" s="28"/>
      <c r="IN294" s="28"/>
    </row>
    <row r="295" spans="1:10" s="27" customFormat="1" ht="16.5" customHeight="1">
      <c r="A295" s="203" t="s">
        <v>23</v>
      </c>
      <c r="B295" s="203"/>
      <c r="C295" s="203"/>
      <c r="D295" s="35">
        <f>SUM(D289:D294)</f>
        <v>720</v>
      </c>
      <c r="E295" s="30">
        <f>SUM(E289:E294)</f>
        <v>28.1401</v>
      </c>
      <c r="F295" s="30">
        <f>SUM(F289:F294)</f>
        <v>25.414099999999998</v>
      </c>
      <c r="G295" s="30">
        <f>SUM(G289:G294)</f>
        <v>107.97979999999998</v>
      </c>
      <c r="H295" s="30">
        <f>SUM(H289:H294)</f>
        <v>792.09</v>
      </c>
      <c r="I295" s="33"/>
      <c r="J295" s="121"/>
    </row>
    <row r="296" spans="1:10" ht="15.75" customHeight="1">
      <c r="A296" s="203" t="s">
        <v>24</v>
      </c>
      <c r="B296" s="203"/>
      <c r="C296" s="203"/>
      <c r="D296" s="203"/>
      <c r="E296" s="44">
        <f>E287+E295</f>
        <v>44.2346</v>
      </c>
      <c r="F296" s="45">
        <f>F287+F295</f>
        <v>35.5856</v>
      </c>
      <c r="G296" s="45">
        <f>G287+G295</f>
        <v>161.73879999999997</v>
      </c>
      <c r="H296" s="46">
        <f>H287+H295</f>
        <v>1169.3400000000001</v>
      </c>
      <c r="I296" s="120"/>
      <c r="J296" s="122"/>
    </row>
    <row r="297" spans="1:9" ht="15.75" customHeight="1">
      <c r="A297" s="183" t="s">
        <v>83</v>
      </c>
      <c r="B297" s="183"/>
      <c r="C297" s="183"/>
      <c r="D297" s="3"/>
      <c r="E297" s="4"/>
      <c r="F297" s="5"/>
      <c r="G297" s="5"/>
      <c r="H297" s="5"/>
      <c r="I297" s="5"/>
    </row>
    <row r="298" spans="1:9" ht="15.75" customHeight="1">
      <c r="A298" s="184" t="s">
        <v>1</v>
      </c>
      <c r="B298" s="184"/>
      <c r="C298" s="184"/>
      <c r="D298" s="6"/>
      <c r="E298" s="7"/>
      <c r="F298" s="8"/>
      <c r="G298" s="8"/>
      <c r="H298" s="8"/>
      <c r="I298" s="8"/>
    </row>
    <row r="299" spans="1:10" ht="16.5" customHeight="1">
      <c r="A299" s="185" t="s">
        <v>84</v>
      </c>
      <c r="B299" s="185"/>
      <c r="C299" s="185"/>
      <c r="D299" s="185"/>
      <c r="E299" s="185"/>
      <c r="F299" s="185"/>
      <c r="G299" s="185"/>
      <c r="H299" s="185"/>
      <c r="I299" s="185"/>
      <c r="J299" s="111"/>
    </row>
    <row r="300" spans="1:10" ht="24.75" customHeight="1">
      <c r="A300" s="218" t="s">
        <v>3</v>
      </c>
      <c r="B300" s="218"/>
      <c r="C300" s="218"/>
      <c r="D300" s="185" t="s">
        <v>4</v>
      </c>
      <c r="E300" s="198" t="s">
        <v>5</v>
      </c>
      <c r="F300" s="198"/>
      <c r="G300" s="198"/>
      <c r="H300" s="199" t="s">
        <v>6</v>
      </c>
      <c r="I300" s="185" t="s">
        <v>7</v>
      </c>
      <c r="J300" s="111"/>
    </row>
    <row r="301" spans="1:10" ht="17.25" customHeight="1">
      <c r="A301" s="218"/>
      <c r="B301" s="218"/>
      <c r="C301" s="218"/>
      <c r="D301" s="185"/>
      <c r="E301" s="51" t="s">
        <v>8</v>
      </c>
      <c r="F301" s="52" t="s">
        <v>9</v>
      </c>
      <c r="G301" s="52" t="s">
        <v>10</v>
      </c>
      <c r="H301" s="199"/>
      <c r="I301" s="185"/>
      <c r="J301" s="111"/>
    </row>
    <row r="302" spans="1:10" ht="16.5" customHeight="1">
      <c r="A302" s="194" t="s">
        <v>11</v>
      </c>
      <c r="B302" s="194"/>
      <c r="C302" s="194"/>
      <c r="D302" s="194"/>
      <c r="E302" s="194"/>
      <c r="F302" s="194"/>
      <c r="G302" s="194"/>
      <c r="H302" s="194"/>
      <c r="I302" s="194"/>
      <c r="J302" s="111"/>
    </row>
    <row r="303" spans="1:10" ht="16.5" customHeight="1">
      <c r="A303" s="204" t="s">
        <v>36</v>
      </c>
      <c r="B303" s="204"/>
      <c r="C303" s="204"/>
      <c r="D303" s="11">
        <v>205</v>
      </c>
      <c r="E303" s="166">
        <v>7.25309523809524</v>
      </c>
      <c r="F303" s="74">
        <v>11.4409523809524</v>
      </c>
      <c r="G303" s="74">
        <v>36.1678571428571</v>
      </c>
      <c r="H303" s="75">
        <v>278.214285714286</v>
      </c>
      <c r="I303" s="15">
        <v>182</v>
      </c>
      <c r="J303" s="111"/>
    </row>
    <row r="304" spans="1:10" ht="16.5" customHeight="1">
      <c r="A304" s="191" t="s">
        <v>20</v>
      </c>
      <c r="B304" s="191"/>
      <c r="C304" s="191"/>
      <c r="D304" s="16">
        <v>40</v>
      </c>
      <c r="E304" s="17">
        <v>3.16</v>
      </c>
      <c r="F304" s="18">
        <v>0.4</v>
      </c>
      <c r="G304" s="18">
        <v>19.32</v>
      </c>
      <c r="H304" s="42">
        <v>94</v>
      </c>
      <c r="I304" s="20" t="s">
        <v>21</v>
      </c>
      <c r="J304" s="111"/>
    </row>
    <row r="305" spans="1:248" ht="15.75" customHeight="1">
      <c r="A305" s="191" t="s">
        <v>38</v>
      </c>
      <c r="B305" s="191"/>
      <c r="C305" s="191"/>
      <c r="D305" s="16">
        <v>75</v>
      </c>
      <c r="E305" s="131">
        <v>8.37</v>
      </c>
      <c r="F305" s="84">
        <v>3.84</v>
      </c>
      <c r="G305" s="84">
        <v>29.235</v>
      </c>
      <c r="H305" s="19">
        <v>184.5</v>
      </c>
      <c r="I305" s="20">
        <v>406</v>
      </c>
      <c r="J305" s="111"/>
      <c r="IJ305" s="27"/>
      <c r="IK305" s="27"/>
      <c r="IL305" s="27"/>
      <c r="IM305" s="27"/>
      <c r="IN305" s="27"/>
    </row>
    <row r="306" spans="1:248" ht="16.5" customHeight="1">
      <c r="A306" s="215" t="s">
        <v>85</v>
      </c>
      <c r="B306" s="215"/>
      <c r="C306" s="215"/>
      <c r="D306" s="16">
        <v>180</v>
      </c>
      <c r="E306" s="53">
        <v>0.51</v>
      </c>
      <c r="F306" s="54">
        <v>0.05</v>
      </c>
      <c r="G306" s="54">
        <v>23</v>
      </c>
      <c r="H306" s="42">
        <v>92</v>
      </c>
      <c r="I306" s="20" t="s">
        <v>21</v>
      </c>
      <c r="J306" s="111"/>
      <c r="IJ306" s="27"/>
      <c r="IK306" s="27"/>
      <c r="IL306" s="27"/>
      <c r="IM306" s="27"/>
      <c r="IN306" s="27"/>
    </row>
    <row r="307" spans="1:10" ht="16.5" customHeight="1">
      <c r="A307" s="227" t="s">
        <v>15</v>
      </c>
      <c r="B307" s="227"/>
      <c r="C307" s="227"/>
      <c r="D307" s="35">
        <f>SUM(D303:D306)</f>
        <v>500</v>
      </c>
      <c r="E307" s="67">
        <f>SUM(E303:E306)</f>
        <v>19.29309523809524</v>
      </c>
      <c r="F307" s="67">
        <f>SUM(F303:F306)</f>
        <v>15.7309523809524</v>
      </c>
      <c r="G307" s="67">
        <f>SUM(G303:G306)</f>
        <v>107.7228571428571</v>
      </c>
      <c r="H307" s="67">
        <f>SUM(H303:H306)</f>
        <v>648.714285714286</v>
      </c>
      <c r="I307" s="68"/>
      <c r="J307" s="111"/>
    </row>
    <row r="308" spans="1:10" ht="16.5" customHeight="1">
      <c r="A308" s="194" t="s">
        <v>16</v>
      </c>
      <c r="B308" s="194"/>
      <c r="C308" s="194"/>
      <c r="D308" s="194"/>
      <c r="E308" s="194"/>
      <c r="F308" s="194"/>
      <c r="G308" s="194"/>
      <c r="H308" s="194"/>
      <c r="I308" s="194"/>
      <c r="J308" s="111"/>
    </row>
    <row r="309" spans="1:248" ht="15.75" customHeight="1">
      <c r="A309" s="190" t="s">
        <v>46</v>
      </c>
      <c r="B309" s="190"/>
      <c r="C309" s="190"/>
      <c r="D309" s="11">
        <v>250</v>
      </c>
      <c r="E309" s="167">
        <f>21.95/1000*250</f>
        <v>5.4875</v>
      </c>
      <c r="F309" s="168">
        <f>21.08/1000*250</f>
        <v>5.27</v>
      </c>
      <c r="G309" s="168">
        <f>66.14/1000*250</f>
        <v>16.535</v>
      </c>
      <c r="H309" s="169">
        <f>593/1000*250</f>
        <v>148.25</v>
      </c>
      <c r="I309" s="15">
        <v>102</v>
      </c>
      <c r="J309" s="114"/>
      <c r="IJ309" s="27"/>
      <c r="IK309" s="27"/>
      <c r="IL309" s="27"/>
      <c r="IM309" s="27"/>
      <c r="IN309" s="27"/>
    </row>
    <row r="310" spans="1:11" ht="15.75" customHeight="1">
      <c r="A310" s="191" t="s">
        <v>86</v>
      </c>
      <c r="B310" s="191"/>
      <c r="C310" s="191"/>
      <c r="D310" s="16">
        <v>65</v>
      </c>
      <c r="E310" s="53">
        <f>6.86/55*65</f>
        <v>8.107272727272727</v>
      </c>
      <c r="F310" s="54">
        <f>10.24/55*65</f>
        <v>12.101818181818183</v>
      </c>
      <c r="G310" s="54">
        <f>4.05/55*65</f>
        <v>4.786363636363636</v>
      </c>
      <c r="H310" s="42">
        <f>136/55*65</f>
        <v>160.72727272727272</v>
      </c>
      <c r="I310" s="20">
        <v>297</v>
      </c>
      <c r="J310" s="114"/>
      <c r="K310" s="91"/>
    </row>
    <row r="311" spans="1:11" ht="15.75" customHeight="1">
      <c r="A311" s="215" t="s">
        <v>87</v>
      </c>
      <c r="B311" s="215"/>
      <c r="C311" s="215"/>
      <c r="D311" s="16">
        <v>100</v>
      </c>
      <c r="E311" s="53">
        <f>19.06/1000*100</f>
        <v>1.9059999999999997</v>
      </c>
      <c r="F311" s="54">
        <f>28.79/1000*100</f>
        <v>2.879</v>
      </c>
      <c r="G311" s="54">
        <f>153.42/1000*100</f>
        <v>15.342</v>
      </c>
      <c r="H311" s="42">
        <f>949/1000*100</f>
        <v>94.89999999999999</v>
      </c>
      <c r="I311" s="20">
        <v>310</v>
      </c>
      <c r="J311" s="114"/>
      <c r="K311" s="91"/>
    </row>
    <row r="312" spans="1:10" ht="15.75" customHeight="1">
      <c r="A312" s="191" t="s">
        <v>43</v>
      </c>
      <c r="B312" s="191"/>
      <c r="C312" s="191"/>
      <c r="D312" s="16">
        <v>60</v>
      </c>
      <c r="E312" s="17">
        <v>1.0242</v>
      </c>
      <c r="F312" s="18">
        <v>3.0024</v>
      </c>
      <c r="G312" s="18">
        <v>5.0748</v>
      </c>
      <c r="H312" s="61">
        <v>51.42</v>
      </c>
      <c r="I312" s="16">
        <v>45</v>
      </c>
      <c r="J312" s="111"/>
    </row>
    <row r="313" spans="1:10" s="27" customFormat="1" ht="15.75" customHeight="1">
      <c r="A313" s="191" t="s">
        <v>33</v>
      </c>
      <c r="B313" s="191"/>
      <c r="C313" s="191"/>
      <c r="D313" s="16">
        <v>30</v>
      </c>
      <c r="E313" s="17">
        <v>2.37</v>
      </c>
      <c r="F313" s="18">
        <v>0.30000000000000004</v>
      </c>
      <c r="G313" s="18">
        <v>14.49</v>
      </c>
      <c r="H313" s="42">
        <v>70.5</v>
      </c>
      <c r="I313" s="20" t="s">
        <v>21</v>
      </c>
      <c r="J313" s="114"/>
    </row>
    <row r="314" spans="1:248" ht="15.75" customHeight="1">
      <c r="A314" s="191" t="s">
        <v>22</v>
      </c>
      <c r="B314" s="191"/>
      <c r="C314" s="191"/>
      <c r="D314" s="16">
        <v>30</v>
      </c>
      <c r="E314" s="17">
        <v>1.98</v>
      </c>
      <c r="F314" s="18">
        <v>0.36</v>
      </c>
      <c r="G314" s="18">
        <v>10.02</v>
      </c>
      <c r="H314" s="19">
        <v>52.2</v>
      </c>
      <c r="I314" s="20" t="s">
        <v>21</v>
      </c>
      <c r="J314" s="114"/>
      <c r="K314" s="91"/>
      <c r="IJ314" s="27"/>
      <c r="IK314" s="27"/>
      <c r="IL314" s="27"/>
      <c r="IM314" s="27"/>
      <c r="IN314" s="27"/>
    </row>
    <row r="315" spans="1:248" s="27" customFormat="1" ht="15.75" customHeight="1">
      <c r="A315" s="205" t="s">
        <v>14</v>
      </c>
      <c r="B315" s="205"/>
      <c r="C315" s="205"/>
      <c r="D315" s="62">
        <v>180</v>
      </c>
      <c r="E315" s="63">
        <v>0.06</v>
      </c>
      <c r="F315" s="64">
        <v>0.02</v>
      </c>
      <c r="G315" s="64">
        <v>9.99</v>
      </c>
      <c r="H315" s="65">
        <v>40</v>
      </c>
      <c r="I315" s="66">
        <v>392</v>
      </c>
      <c r="J315" s="114"/>
      <c r="K315" s="170"/>
      <c r="HX315" s="28"/>
      <c r="HY315" s="28"/>
      <c r="HZ315" s="28"/>
      <c r="IA315" s="28"/>
      <c r="IB315" s="28"/>
      <c r="IC315" s="28"/>
      <c r="ID315" s="28"/>
      <c r="IE315" s="28"/>
      <c r="IF315" s="28"/>
      <c r="IG315" s="28"/>
      <c r="IH315" s="28"/>
      <c r="II315" s="28"/>
      <c r="IJ315" s="28"/>
      <c r="IK315" s="28"/>
      <c r="IL315" s="28"/>
      <c r="IM315" s="28"/>
      <c r="IN315" s="28"/>
    </row>
    <row r="316" spans="1:11" ht="16.5" customHeight="1">
      <c r="A316" s="195" t="s">
        <v>23</v>
      </c>
      <c r="B316" s="195"/>
      <c r="C316" s="195"/>
      <c r="D316" s="35">
        <f>SUM(D309:D315)</f>
        <v>715</v>
      </c>
      <c r="E316" s="67">
        <f>SUM(E309:E315)</f>
        <v>20.934972727272726</v>
      </c>
      <c r="F316" s="67">
        <f>SUM(F309:F315)</f>
        <v>23.933218181818187</v>
      </c>
      <c r="G316" s="67">
        <f>SUM(G309:G315)</f>
        <v>76.23816363636364</v>
      </c>
      <c r="H316" s="47">
        <f>SUM(H309:H315)</f>
        <v>617.9972727272727</v>
      </c>
      <c r="I316" s="47"/>
      <c r="J316" s="121"/>
      <c r="K316" s="91"/>
    </row>
    <row r="317" spans="1:10" ht="16.5" customHeight="1">
      <c r="A317" s="203" t="s">
        <v>24</v>
      </c>
      <c r="B317" s="203"/>
      <c r="C317" s="203"/>
      <c r="D317" s="203"/>
      <c r="E317" s="69">
        <f>E307+E316</f>
        <v>40.22806796536797</v>
      </c>
      <c r="F317" s="70">
        <f>F307+F316</f>
        <v>39.664170562770586</v>
      </c>
      <c r="G317" s="70">
        <f>G307+G316</f>
        <v>183.96102077922075</v>
      </c>
      <c r="H317" s="71">
        <f>H307+H316</f>
        <v>1266.7115584415587</v>
      </c>
      <c r="I317" s="120"/>
      <c r="J317" s="111"/>
    </row>
    <row r="318" spans="1:9" ht="15.75" customHeight="1">
      <c r="A318" s="183" t="s">
        <v>83</v>
      </c>
      <c r="B318" s="183"/>
      <c r="C318" s="183"/>
      <c r="D318" s="3"/>
      <c r="E318" s="48"/>
      <c r="F318" s="48"/>
      <c r="G318" s="48"/>
      <c r="H318" s="48"/>
      <c r="I318" s="48"/>
    </row>
    <row r="319" spans="1:9" ht="15.75" customHeight="1">
      <c r="A319" s="184" t="s">
        <v>1</v>
      </c>
      <c r="B319" s="184"/>
      <c r="C319" s="184"/>
      <c r="D319" s="6"/>
      <c r="E319" s="50"/>
      <c r="F319" s="50"/>
      <c r="G319" s="50"/>
      <c r="H319" s="50"/>
      <c r="I319" s="50"/>
    </row>
    <row r="320" spans="1:10" ht="16.5" customHeight="1">
      <c r="A320" s="194" t="s">
        <v>88</v>
      </c>
      <c r="B320" s="194"/>
      <c r="C320" s="194"/>
      <c r="D320" s="194"/>
      <c r="E320" s="194"/>
      <c r="F320" s="194"/>
      <c r="G320" s="194"/>
      <c r="H320" s="194"/>
      <c r="I320" s="194"/>
      <c r="J320" s="111"/>
    </row>
    <row r="321" spans="1:10" ht="14.25" customHeight="1">
      <c r="A321" s="217" t="s">
        <v>3</v>
      </c>
      <c r="B321" s="217"/>
      <c r="C321" s="217"/>
      <c r="D321" s="185" t="s">
        <v>4</v>
      </c>
      <c r="E321" s="198" t="s">
        <v>5</v>
      </c>
      <c r="F321" s="198"/>
      <c r="G321" s="198"/>
      <c r="H321" s="199" t="s">
        <v>6</v>
      </c>
      <c r="I321" s="185" t="s">
        <v>7</v>
      </c>
      <c r="J321" s="111"/>
    </row>
    <row r="322" spans="1:10" ht="23.25" customHeight="1">
      <c r="A322" s="217"/>
      <c r="B322" s="217"/>
      <c r="C322" s="217"/>
      <c r="D322" s="185"/>
      <c r="E322" s="51" t="s">
        <v>8</v>
      </c>
      <c r="F322" s="52" t="s">
        <v>9</v>
      </c>
      <c r="G322" s="52" t="s">
        <v>10</v>
      </c>
      <c r="H322" s="199"/>
      <c r="I322" s="185"/>
      <c r="J322" s="111"/>
    </row>
    <row r="323" spans="1:10" ht="16.5" customHeight="1">
      <c r="A323" s="189" t="s">
        <v>11</v>
      </c>
      <c r="B323" s="189"/>
      <c r="C323" s="189"/>
      <c r="D323" s="189"/>
      <c r="E323" s="189"/>
      <c r="F323" s="189"/>
      <c r="G323" s="189"/>
      <c r="H323" s="189"/>
      <c r="I323" s="189"/>
      <c r="J323" s="111"/>
    </row>
    <row r="324" spans="1:10" ht="15.75" customHeight="1">
      <c r="A324" s="200" t="s">
        <v>58</v>
      </c>
      <c r="B324" s="200"/>
      <c r="C324" s="200"/>
      <c r="D324" s="11">
        <v>116</v>
      </c>
      <c r="E324" s="81">
        <f>5.39/50*116</f>
        <v>12.5048</v>
      </c>
      <c r="F324" s="82">
        <f>9.6/50*116</f>
        <v>22.272000000000002</v>
      </c>
      <c r="G324" s="82">
        <f>1.02/50*116</f>
        <v>2.3664</v>
      </c>
      <c r="H324" s="112">
        <f>112/50*116</f>
        <v>259.84000000000003</v>
      </c>
      <c r="I324" s="15">
        <v>210</v>
      </c>
      <c r="J324" s="111"/>
    </row>
    <row r="325" spans="1:248" ht="15.75" customHeight="1">
      <c r="A325" s="201" t="s">
        <v>57</v>
      </c>
      <c r="B325" s="201"/>
      <c r="C325" s="201"/>
      <c r="D325" s="16">
        <v>60</v>
      </c>
      <c r="E325" s="53">
        <f>0.72/60*50</f>
        <v>0.6</v>
      </c>
      <c r="F325" s="54">
        <f>2.83/60*50</f>
        <v>2.3583333333333334</v>
      </c>
      <c r="G325" s="54">
        <f>4.63/60*50</f>
        <v>3.858333333333333</v>
      </c>
      <c r="H325" s="42">
        <f>46.8/60*50</f>
        <v>38.99999999999999</v>
      </c>
      <c r="I325" s="16" t="s">
        <v>21</v>
      </c>
      <c r="J325" s="111"/>
      <c r="IJ325" s="27"/>
      <c r="IK325" s="27"/>
      <c r="IL325" s="27"/>
      <c r="IM325" s="27"/>
      <c r="IN325" s="27"/>
    </row>
    <row r="326" spans="1:10" ht="16.5" customHeight="1">
      <c r="A326" s="191" t="s">
        <v>20</v>
      </c>
      <c r="B326" s="191"/>
      <c r="C326" s="191"/>
      <c r="D326" s="16">
        <v>40</v>
      </c>
      <c r="E326" s="17">
        <v>3.16</v>
      </c>
      <c r="F326" s="18">
        <v>0.4</v>
      </c>
      <c r="G326" s="18">
        <v>19.32</v>
      </c>
      <c r="H326" s="42">
        <v>94</v>
      </c>
      <c r="I326" s="20" t="s">
        <v>21</v>
      </c>
      <c r="J326" s="111"/>
    </row>
    <row r="327" spans="1:248" s="27" customFormat="1" ht="15.75" customHeight="1">
      <c r="A327" s="205" t="s">
        <v>14</v>
      </c>
      <c r="B327" s="205"/>
      <c r="C327" s="205"/>
      <c r="D327" s="62">
        <v>180</v>
      </c>
      <c r="E327" s="63">
        <v>0.06</v>
      </c>
      <c r="F327" s="64">
        <v>0.02</v>
      </c>
      <c r="G327" s="64">
        <v>9.99</v>
      </c>
      <c r="H327" s="65">
        <v>40</v>
      </c>
      <c r="I327" s="66">
        <v>392</v>
      </c>
      <c r="J327" s="114"/>
      <c r="K327" s="170"/>
      <c r="HX327" s="28"/>
      <c r="HY327" s="28"/>
      <c r="HZ327" s="28"/>
      <c r="IA327" s="28"/>
      <c r="IB327" s="28"/>
      <c r="IC327" s="28"/>
      <c r="ID327" s="28"/>
      <c r="IE327" s="28"/>
      <c r="IF327" s="28"/>
      <c r="IG327" s="28"/>
      <c r="IH327" s="28"/>
      <c r="II327" s="28"/>
      <c r="IJ327" s="28"/>
      <c r="IK327" s="28"/>
      <c r="IL327" s="28"/>
      <c r="IM327" s="28"/>
      <c r="IN327" s="28"/>
    </row>
    <row r="328" spans="1:248" s="91" customFormat="1" ht="15.75" customHeight="1">
      <c r="A328" s="207" t="s">
        <v>38</v>
      </c>
      <c r="B328" s="207"/>
      <c r="C328" s="207"/>
      <c r="D328" s="85">
        <v>75</v>
      </c>
      <c r="E328" s="171">
        <v>8.37</v>
      </c>
      <c r="F328" s="172">
        <v>3.84</v>
      </c>
      <c r="G328" s="172">
        <v>29.235</v>
      </c>
      <c r="H328" s="173">
        <v>184.5</v>
      </c>
      <c r="I328" s="174">
        <v>406</v>
      </c>
      <c r="J328" s="127"/>
      <c r="IJ328" s="170"/>
      <c r="IK328" s="170"/>
      <c r="IL328" s="170"/>
      <c r="IM328" s="170"/>
      <c r="IN328" s="170"/>
    </row>
    <row r="329" spans="1:10" ht="16.5" customHeight="1">
      <c r="A329" s="203" t="s">
        <v>15</v>
      </c>
      <c r="B329" s="203"/>
      <c r="C329" s="203"/>
      <c r="D329" s="29">
        <f>SUM(D324:D328)</f>
        <v>471</v>
      </c>
      <c r="E329" s="110">
        <f>SUM(E324:E328)</f>
        <v>24.6948</v>
      </c>
      <c r="F329" s="110">
        <f>SUM(F324:F328)</f>
        <v>28.890333333333334</v>
      </c>
      <c r="G329" s="110">
        <f>SUM(G324:G328)</f>
        <v>64.76973333333333</v>
      </c>
      <c r="H329" s="110">
        <f>SUM(H324:H328)</f>
        <v>617.34</v>
      </c>
      <c r="I329" s="33"/>
      <c r="J329" s="111"/>
    </row>
    <row r="330" spans="1:10" ht="16.5" customHeight="1">
      <c r="A330" s="189" t="s">
        <v>16</v>
      </c>
      <c r="B330" s="189"/>
      <c r="C330" s="189"/>
      <c r="D330" s="189"/>
      <c r="E330" s="189"/>
      <c r="F330" s="189"/>
      <c r="G330" s="189"/>
      <c r="H330" s="189"/>
      <c r="I330" s="189"/>
      <c r="J330" s="111"/>
    </row>
    <row r="331" spans="1:234" s="27" customFormat="1" ht="15.75" customHeight="1">
      <c r="A331" s="200" t="s">
        <v>52</v>
      </c>
      <c r="B331" s="200"/>
      <c r="C331" s="200"/>
      <c r="D331" s="11">
        <v>250</v>
      </c>
      <c r="E331" s="12">
        <f>9.37/1000*250</f>
        <v>2.3425</v>
      </c>
      <c r="F331" s="13">
        <f>11.31/1000*250</f>
        <v>2.8275</v>
      </c>
      <c r="G331" s="13">
        <f>67.48/1000*250</f>
        <v>16.87</v>
      </c>
      <c r="H331" s="14">
        <f>456/1000*250</f>
        <v>114</v>
      </c>
      <c r="I331" s="15">
        <v>97</v>
      </c>
      <c r="J331" s="114"/>
      <c r="HR331" s="1"/>
      <c r="HS331" s="1"/>
      <c r="HT331" s="1"/>
      <c r="HU331" s="1"/>
      <c r="HV331" s="1"/>
      <c r="HW331" s="1"/>
      <c r="HX331" s="1"/>
      <c r="HY331" s="1"/>
      <c r="HZ331" s="1"/>
    </row>
    <row r="332" spans="1:10" ht="15" customHeight="1">
      <c r="A332" s="191" t="s">
        <v>18</v>
      </c>
      <c r="B332" s="191"/>
      <c r="C332" s="191"/>
      <c r="D332" s="96">
        <v>180</v>
      </c>
      <c r="E332" s="37">
        <f>42.1/1000*180</f>
        <v>7.577999999999999</v>
      </c>
      <c r="F332" s="18">
        <f>30.03/1000*180</f>
        <v>5.4054</v>
      </c>
      <c r="G332" s="18">
        <f>259.01/1000*180</f>
        <v>46.6218</v>
      </c>
      <c r="H332" s="19">
        <f>1475/1000*180</f>
        <v>265.5</v>
      </c>
      <c r="I332" s="20">
        <v>302</v>
      </c>
      <c r="J332" s="114"/>
    </row>
    <row r="333" spans="1:11" ht="15.75" customHeight="1">
      <c r="A333" s="191" t="s">
        <v>89</v>
      </c>
      <c r="B333" s="191"/>
      <c r="C333" s="191"/>
      <c r="D333" s="96">
        <v>100</v>
      </c>
      <c r="E333" s="97">
        <v>6.88</v>
      </c>
      <c r="F333" s="54">
        <v>16.49</v>
      </c>
      <c r="G333" s="54">
        <v>9.99</v>
      </c>
      <c r="H333" s="42">
        <v>226</v>
      </c>
      <c r="I333" s="20">
        <v>279</v>
      </c>
      <c r="J333" s="114"/>
      <c r="K333" s="91"/>
    </row>
    <row r="334" spans="1:10" s="27" customFormat="1" ht="15.75" customHeight="1">
      <c r="A334" s="191" t="s">
        <v>33</v>
      </c>
      <c r="B334" s="191"/>
      <c r="C334" s="191"/>
      <c r="D334" s="96">
        <v>40</v>
      </c>
      <c r="E334" s="37">
        <v>2.37</v>
      </c>
      <c r="F334" s="18">
        <v>0.30000000000000004</v>
      </c>
      <c r="G334" s="18">
        <v>14.49</v>
      </c>
      <c r="H334" s="42">
        <v>70.5</v>
      </c>
      <c r="I334" s="20" t="s">
        <v>21</v>
      </c>
      <c r="J334" s="114"/>
    </row>
    <row r="335" spans="1:10" ht="15" customHeight="1">
      <c r="A335" s="191" t="s">
        <v>22</v>
      </c>
      <c r="B335" s="191"/>
      <c r="C335" s="191"/>
      <c r="D335" s="96">
        <v>30</v>
      </c>
      <c r="E335" s="97">
        <v>1.98</v>
      </c>
      <c r="F335" s="54">
        <v>0.36</v>
      </c>
      <c r="G335" s="54">
        <v>10.02</v>
      </c>
      <c r="H335" s="42">
        <v>52.2</v>
      </c>
      <c r="I335" s="20" t="s">
        <v>21</v>
      </c>
      <c r="J335" s="114"/>
    </row>
    <row r="336" spans="1:234" s="27" customFormat="1" ht="16.5" customHeight="1">
      <c r="A336" s="207" t="s">
        <v>28</v>
      </c>
      <c r="B336" s="207"/>
      <c r="C336" s="207"/>
      <c r="D336" s="175" t="s">
        <v>29</v>
      </c>
      <c r="E336" s="23">
        <v>0.12</v>
      </c>
      <c r="F336" s="24">
        <v>0.02</v>
      </c>
      <c r="G336" s="24">
        <v>10.2</v>
      </c>
      <c r="H336" s="25">
        <v>41</v>
      </c>
      <c r="I336" s="26">
        <v>393</v>
      </c>
      <c r="J336" s="113"/>
      <c r="HR336" s="1"/>
      <c r="HS336" s="1"/>
      <c r="HT336" s="1"/>
      <c r="HU336" s="1"/>
      <c r="HV336" s="1"/>
      <c r="HW336" s="1"/>
      <c r="HX336" s="1"/>
      <c r="HY336" s="1"/>
      <c r="HZ336" s="1"/>
    </row>
    <row r="337" spans="1:10" ht="16.5" customHeight="1">
      <c r="A337" s="203" t="s">
        <v>23</v>
      </c>
      <c r="B337" s="203"/>
      <c r="C337" s="203"/>
      <c r="D337" s="119">
        <f>SUM(D331:D335)+187</f>
        <v>787</v>
      </c>
      <c r="E337" s="69">
        <f>SUM(E331:E336)</f>
        <v>21.270500000000002</v>
      </c>
      <c r="F337" s="110">
        <f>SUM(F331:F336)</f>
        <v>25.4029</v>
      </c>
      <c r="G337" s="110">
        <f>SUM(G331:G336)</f>
        <v>108.19179999999999</v>
      </c>
      <c r="H337" s="110">
        <f>SUM(H331:H336)</f>
        <v>769.2</v>
      </c>
      <c r="I337" s="33"/>
      <c r="J337" s="121"/>
    </row>
    <row r="338" spans="1:10" ht="16.5" customHeight="1">
      <c r="A338" s="203" t="s">
        <v>34</v>
      </c>
      <c r="B338" s="203"/>
      <c r="C338" s="203"/>
      <c r="D338" s="203"/>
      <c r="E338" s="69">
        <f>E329+E337</f>
        <v>45.9653</v>
      </c>
      <c r="F338" s="70">
        <f>F329+F337</f>
        <v>54.29323333333333</v>
      </c>
      <c r="G338" s="70">
        <f>G329+G337</f>
        <v>172.9615333333333</v>
      </c>
      <c r="H338" s="71">
        <f>H329+H337</f>
        <v>1386.54</v>
      </c>
      <c r="I338" s="120"/>
      <c r="J338" s="111"/>
    </row>
    <row r="339" spans="1:9" ht="15.75" customHeight="1">
      <c r="A339" s="183" t="s">
        <v>83</v>
      </c>
      <c r="B339" s="183"/>
      <c r="C339" s="183"/>
      <c r="D339" s="3"/>
      <c r="E339" s="48"/>
      <c r="F339" s="48"/>
      <c r="G339" s="48"/>
      <c r="H339" s="48"/>
      <c r="I339" s="48"/>
    </row>
    <row r="340" spans="1:9" ht="16.5" customHeight="1">
      <c r="A340" s="184" t="s">
        <v>1</v>
      </c>
      <c r="B340" s="184"/>
      <c r="C340" s="184"/>
      <c r="D340" s="6"/>
      <c r="E340" s="50"/>
      <c r="F340" s="50"/>
      <c r="G340" s="50"/>
      <c r="H340" s="50"/>
      <c r="I340" s="50"/>
    </row>
    <row r="341" spans="1:10" ht="16.5" customHeight="1">
      <c r="A341" s="185" t="s">
        <v>90</v>
      </c>
      <c r="B341" s="185"/>
      <c r="C341" s="185"/>
      <c r="D341" s="185"/>
      <c r="E341" s="185"/>
      <c r="F341" s="185"/>
      <c r="G341" s="185"/>
      <c r="H341" s="185"/>
      <c r="I341" s="185"/>
      <c r="J341" s="111"/>
    </row>
    <row r="342" spans="1:10" ht="18.75" customHeight="1">
      <c r="A342" s="217" t="s">
        <v>3</v>
      </c>
      <c r="B342" s="217"/>
      <c r="C342" s="217"/>
      <c r="D342" s="185" t="s">
        <v>4</v>
      </c>
      <c r="E342" s="198" t="s">
        <v>5</v>
      </c>
      <c r="F342" s="198"/>
      <c r="G342" s="198"/>
      <c r="H342" s="199" t="s">
        <v>6</v>
      </c>
      <c r="I342" s="185" t="s">
        <v>7</v>
      </c>
      <c r="J342" s="111"/>
    </row>
    <row r="343" spans="1:10" ht="18.75" customHeight="1">
      <c r="A343" s="217"/>
      <c r="B343" s="217"/>
      <c r="C343" s="217"/>
      <c r="D343" s="185"/>
      <c r="E343" s="51" t="s">
        <v>8</v>
      </c>
      <c r="F343" s="52" t="s">
        <v>9</v>
      </c>
      <c r="G343" s="52" t="s">
        <v>10</v>
      </c>
      <c r="H343" s="199"/>
      <c r="I343" s="185"/>
      <c r="J343" s="111"/>
    </row>
    <row r="344" spans="1:10" ht="16.5" customHeight="1">
      <c r="A344" s="212" t="s">
        <v>11</v>
      </c>
      <c r="B344" s="212"/>
      <c r="C344" s="212"/>
      <c r="D344" s="212"/>
      <c r="E344" s="212"/>
      <c r="F344" s="212"/>
      <c r="G344" s="212"/>
      <c r="H344" s="212"/>
      <c r="I344" s="212"/>
      <c r="J344" s="111"/>
    </row>
    <row r="345" spans="1:10" ht="15" customHeight="1">
      <c r="A345" s="190" t="s">
        <v>27</v>
      </c>
      <c r="B345" s="190"/>
      <c r="C345" s="190"/>
      <c r="D345" s="11">
        <v>150</v>
      </c>
      <c r="E345" s="53">
        <f>20.43/1000*150</f>
        <v>3.0645000000000002</v>
      </c>
      <c r="F345" s="54">
        <f>32.01/1000*150</f>
        <v>4.8015</v>
      </c>
      <c r="G345" s="54">
        <f>136.26/1000*150</f>
        <v>20.439</v>
      </c>
      <c r="H345" s="42">
        <f>915/1000*150</f>
        <v>137.25</v>
      </c>
      <c r="I345" s="11">
        <v>312</v>
      </c>
      <c r="J345" s="111"/>
    </row>
    <row r="346" spans="1:10" s="27" customFormat="1" ht="15.75" customHeight="1">
      <c r="A346" s="191" t="s">
        <v>91</v>
      </c>
      <c r="B346" s="191"/>
      <c r="C346" s="191"/>
      <c r="D346" s="16">
        <v>90</v>
      </c>
      <c r="E346" s="17">
        <v>7.43625</v>
      </c>
      <c r="F346" s="18">
        <v>7.245</v>
      </c>
      <c r="G346" s="18">
        <v>10.58625</v>
      </c>
      <c r="H346" s="19">
        <v>137.25</v>
      </c>
      <c r="I346" s="20">
        <v>239</v>
      </c>
      <c r="J346" s="113"/>
    </row>
    <row r="347" spans="1:234" s="27" customFormat="1" ht="16.5" customHeight="1">
      <c r="A347" s="191" t="s">
        <v>28</v>
      </c>
      <c r="B347" s="191"/>
      <c r="C347" s="191"/>
      <c r="D347" s="163" t="s">
        <v>29</v>
      </c>
      <c r="E347" s="53">
        <v>0.12</v>
      </c>
      <c r="F347" s="54">
        <v>0.02</v>
      </c>
      <c r="G347" s="54">
        <v>10.2</v>
      </c>
      <c r="H347" s="42">
        <v>41</v>
      </c>
      <c r="I347" s="20">
        <v>393</v>
      </c>
      <c r="J347" s="113"/>
      <c r="HR347" s="1"/>
      <c r="HS347" s="1"/>
      <c r="HT347" s="1"/>
      <c r="HU347" s="1"/>
      <c r="HV347" s="1"/>
      <c r="HW347" s="1"/>
      <c r="HX347" s="1"/>
      <c r="HY347" s="1"/>
      <c r="HZ347" s="1"/>
    </row>
    <row r="348" spans="1:243" ht="16.5" customHeight="1">
      <c r="A348" s="192" t="s">
        <v>20</v>
      </c>
      <c r="B348" s="192"/>
      <c r="C348" s="192"/>
      <c r="D348" s="22">
        <v>50</v>
      </c>
      <c r="E348" s="164">
        <v>3.95</v>
      </c>
      <c r="F348" s="165">
        <v>0.5</v>
      </c>
      <c r="G348" s="165">
        <v>24.15</v>
      </c>
      <c r="H348" s="65">
        <v>117.5</v>
      </c>
      <c r="I348" s="26" t="s">
        <v>21</v>
      </c>
      <c r="J348" s="127"/>
      <c r="IA348" s="27"/>
      <c r="IB348" s="27"/>
      <c r="IC348" s="27"/>
      <c r="ID348" s="27"/>
      <c r="IE348" s="27"/>
      <c r="IF348" s="27"/>
      <c r="IG348" s="27"/>
      <c r="IH348" s="27"/>
      <c r="II348" s="27"/>
    </row>
    <row r="349" spans="1:243" ht="16.5" customHeight="1">
      <c r="A349" s="211" t="s">
        <v>15</v>
      </c>
      <c r="B349" s="211"/>
      <c r="C349" s="211"/>
      <c r="D349" s="119">
        <f>D345+D346+D348+187</f>
        <v>477</v>
      </c>
      <c r="E349" s="44">
        <f>SUM(E345:E348)</f>
        <v>14.57075</v>
      </c>
      <c r="F349" s="45">
        <f>SUM(F345:F348)</f>
        <v>12.5665</v>
      </c>
      <c r="G349" s="45">
        <f>SUM(G345:G348)</f>
        <v>65.37525</v>
      </c>
      <c r="H349" s="46">
        <f>SUM(H345:H348)</f>
        <v>433</v>
      </c>
      <c r="I349" s="120"/>
      <c r="J349" s="127"/>
      <c r="IA349" s="27"/>
      <c r="IB349" s="27"/>
      <c r="IC349" s="27"/>
      <c r="ID349" s="27"/>
      <c r="IE349" s="27"/>
      <c r="IF349" s="27"/>
      <c r="IG349" s="27"/>
      <c r="IH349" s="27"/>
      <c r="II349" s="27"/>
    </row>
    <row r="350" spans="1:243" ht="16.5" customHeight="1">
      <c r="A350" s="185" t="s">
        <v>16</v>
      </c>
      <c r="B350" s="185"/>
      <c r="C350" s="185"/>
      <c r="D350" s="185"/>
      <c r="E350" s="185"/>
      <c r="F350" s="185"/>
      <c r="G350" s="185"/>
      <c r="H350" s="185"/>
      <c r="I350" s="185"/>
      <c r="J350" s="127"/>
      <c r="IA350" s="27"/>
      <c r="IB350" s="27"/>
      <c r="IC350" s="27"/>
      <c r="ID350" s="27"/>
      <c r="IE350" s="27"/>
      <c r="IF350" s="27"/>
      <c r="IG350" s="27"/>
      <c r="IH350" s="27"/>
      <c r="II350" s="27"/>
    </row>
    <row r="351" spans="1:248" ht="16.5" customHeight="1">
      <c r="A351" s="190" t="s">
        <v>30</v>
      </c>
      <c r="B351" s="190"/>
      <c r="C351" s="190"/>
      <c r="D351" s="11">
        <v>250</v>
      </c>
      <c r="E351" s="12">
        <v>1.8</v>
      </c>
      <c r="F351" s="13">
        <v>4.92</v>
      </c>
      <c r="G351" s="13">
        <v>10.93</v>
      </c>
      <c r="H351" s="14">
        <v>103.75</v>
      </c>
      <c r="I351" s="15">
        <v>82</v>
      </c>
      <c r="J351" s="114"/>
      <c r="IJ351" s="27"/>
      <c r="IK351" s="27"/>
      <c r="IL351" s="27"/>
      <c r="IM351" s="27"/>
      <c r="IN351" s="27"/>
    </row>
    <row r="352" spans="1:10" ht="16.5" customHeight="1">
      <c r="A352" s="191" t="s">
        <v>32</v>
      </c>
      <c r="B352" s="191"/>
      <c r="C352" s="191"/>
      <c r="D352" s="16">
        <v>180</v>
      </c>
      <c r="E352" s="17">
        <f>36.78/1000*180</f>
        <v>6.6204</v>
      </c>
      <c r="F352" s="18">
        <f>30.1/1000*180</f>
        <v>5.418</v>
      </c>
      <c r="G352" s="18">
        <f>176.3/1000*180</f>
        <v>31.734</v>
      </c>
      <c r="H352" s="61">
        <f>1123/1000*180</f>
        <v>202.14</v>
      </c>
      <c r="I352" s="20">
        <v>309</v>
      </c>
      <c r="J352" s="114"/>
    </row>
    <row r="353" spans="1:10" ht="15" customHeight="1">
      <c r="A353" s="191" t="s">
        <v>19</v>
      </c>
      <c r="B353" s="191"/>
      <c r="C353" s="191"/>
      <c r="D353" s="38">
        <v>100</v>
      </c>
      <c r="E353" s="39">
        <v>11.09</v>
      </c>
      <c r="F353" s="40">
        <v>11.26</v>
      </c>
      <c r="G353" s="40">
        <v>3.51</v>
      </c>
      <c r="H353" s="41">
        <v>166</v>
      </c>
      <c r="I353" s="20">
        <v>290</v>
      </c>
      <c r="J353" s="114"/>
    </row>
    <row r="354" spans="1:243" ht="15.75" customHeight="1">
      <c r="A354" s="191" t="s">
        <v>33</v>
      </c>
      <c r="B354" s="191"/>
      <c r="C354" s="191"/>
      <c r="D354" s="16">
        <v>40</v>
      </c>
      <c r="E354" s="17">
        <v>3.16</v>
      </c>
      <c r="F354" s="18">
        <v>0.4</v>
      </c>
      <c r="G354" s="18">
        <v>19.32</v>
      </c>
      <c r="H354" s="42">
        <v>94</v>
      </c>
      <c r="I354" s="20" t="s">
        <v>21</v>
      </c>
      <c r="J354" s="114"/>
      <c r="IA354" s="27"/>
      <c r="IB354" s="27"/>
      <c r="IC354" s="27"/>
      <c r="ID354" s="27"/>
      <c r="IE354" s="27"/>
      <c r="IF354" s="27"/>
      <c r="IG354" s="27"/>
      <c r="IH354" s="27"/>
      <c r="II354" s="27"/>
    </row>
    <row r="355" spans="1:243" ht="15.75" customHeight="1">
      <c r="A355" s="191" t="s">
        <v>22</v>
      </c>
      <c r="B355" s="191"/>
      <c r="C355" s="191"/>
      <c r="D355" s="16">
        <v>30</v>
      </c>
      <c r="E355" s="53">
        <v>1.98</v>
      </c>
      <c r="F355" s="54">
        <v>0.36</v>
      </c>
      <c r="G355" s="54">
        <v>10.02</v>
      </c>
      <c r="H355" s="42">
        <v>52.2</v>
      </c>
      <c r="I355" s="20" t="s">
        <v>21</v>
      </c>
      <c r="J355" s="114"/>
      <c r="IA355" s="27"/>
      <c r="IB355" s="27"/>
      <c r="IC355" s="27"/>
      <c r="ID355" s="27"/>
      <c r="IE355" s="27"/>
      <c r="IF355" s="27"/>
      <c r="IG355" s="27"/>
      <c r="IH355" s="27"/>
      <c r="II355" s="27"/>
    </row>
    <row r="356" spans="1:243" s="27" customFormat="1" ht="15.75" customHeight="1">
      <c r="A356" s="192" t="s">
        <v>14</v>
      </c>
      <c r="B356" s="192"/>
      <c r="C356" s="192"/>
      <c r="D356" s="22">
        <v>180</v>
      </c>
      <c r="E356" s="23">
        <v>0.06</v>
      </c>
      <c r="F356" s="24">
        <v>0.02</v>
      </c>
      <c r="G356" s="24">
        <v>9.99</v>
      </c>
      <c r="H356" s="25">
        <v>40</v>
      </c>
      <c r="I356" s="26">
        <v>392</v>
      </c>
      <c r="J356" s="114"/>
      <c r="HR356" s="28"/>
      <c r="HS356" s="28"/>
      <c r="HT356" s="28"/>
      <c r="HU356" s="28"/>
      <c r="HV356" s="28"/>
      <c r="HW356" s="28"/>
      <c r="HX356" s="28"/>
      <c r="HY356" s="28"/>
      <c r="HZ356" s="28"/>
      <c r="IA356" s="28"/>
      <c r="IB356" s="28"/>
      <c r="IC356" s="28"/>
      <c r="ID356" s="28"/>
      <c r="IE356" s="28"/>
      <c r="IF356" s="28"/>
      <c r="IG356" s="28"/>
      <c r="IH356" s="28"/>
      <c r="II356" s="28"/>
    </row>
    <row r="357" spans="1:243" ht="16.5" customHeight="1">
      <c r="A357" s="203" t="s">
        <v>23</v>
      </c>
      <c r="B357" s="203"/>
      <c r="C357" s="203"/>
      <c r="D357" s="29">
        <f>SUM(D351:D356)</f>
        <v>780</v>
      </c>
      <c r="E357" s="30">
        <f>SUM(E351:E356)</f>
        <v>24.7104</v>
      </c>
      <c r="F357" s="30">
        <f>SUM(F351:F356)</f>
        <v>22.377999999999997</v>
      </c>
      <c r="G357" s="30">
        <f>SUM(G351:G356)</f>
        <v>85.50399999999999</v>
      </c>
      <c r="H357" s="30">
        <f>SUM(H351:H356)</f>
        <v>658.09</v>
      </c>
      <c r="I357" s="33"/>
      <c r="J357" s="121"/>
      <c r="IA357" s="27"/>
      <c r="IB357" s="27"/>
      <c r="IC357" s="27"/>
      <c r="ID357" s="27"/>
      <c r="IE357" s="27"/>
      <c r="IF357" s="27"/>
      <c r="IG357" s="27"/>
      <c r="IH357" s="27"/>
      <c r="II357" s="27"/>
    </row>
    <row r="358" spans="1:243" ht="16.5" customHeight="1">
      <c r="A358" s="203" t="s">
        <v>24</v>
      </c>
      <c r="B358" s="203"/>
      <c r="C358" s="203"/>
      <c r="D358" s="203"/>
      <c r="E358" s="44">
        <f>E349+E357</f>
        <v>39.28115</v>
      </c>
      <c r="F358" s="45">
        <f>F349+F357</f>
        <v>34.9445</v>
      </c>
      <c r="G358" s="45">
        <f>G349+G357</f>
        <v>150.87924999999998</v>
      </c>
      <c r="H358" s="46">
        <f>H349+H357</f>
        <v>1091.0900000000001</v>
      </c>
      <c r="I358" s="120"/>
      <c r="J358" s="111"/>
      <c r="IA358" s="27"/>
      <c r="IB358" s="27"/>
      <c r="IC358" s="27"/>
      <c r="ID358" s="27"/>
      <c r="IE358" s="27"/>
      <c r="IF358" s="27"/>
      <c r="IG358" s="27"/>
      <c r="IH358" s="27"/>
      <c r="II358" s="27"/>
    </row>
    <row r="359" spans="1:9" ht="15.75" customHeight="1">
      <c r="A359" s="183" t="s">
        <v>83</v>
      </c>
      <c r="B359" s="183"/>
      <c r="C359" s="183"/>
      <c r="D359" s="3"/>
      <c r="E359" s="48"/>
      <c r="F359" s="48"/>
      <c r="G359" s="48"/>
      <c r="H359" s="48"/>
      <c r="I359" s="48"/>
    </row>
    <row r="360" spans="1:9" ht="16.5" customHeight="1">
      <c r="A360" s="184" t="s">
        <v>1</v>
      </c>
      <c r="B360" s="184"/>
      <c r="C360" s="184"/>
      <c r="D360" s="6"/>
      <c r="E360" s="50"/>
      <c r="F360" s="50"/>
      <c r="G360" s="50"/>
      <c r="H360" s="50"/>
      <c r="I360" s="50"/>
    </row>
    <row r="361" spans="1:9" ht="17.25" customHeight="1">
      <c r="A361" s="228" t="s">
        <v>92</v>
      </c>
      <c r="B361" s="228"/>
      <c r="C361" s="228"/>
      <c r="D361" s="228"/>
      <c r="E361" s="228"/>
      <c r="F361" s="228"/>
      <c r="G361" s="228"/>
      <c r="H361" s="228"/>
      <c r="I361" s="228"/>
    </row>
    <row r="362" spans="1:10" ht="18.75" customHeight="1">
      <c r="A362" s="217" t="s">
        <v>3</v>
      </c>
      <c r="B362" s="217"/>
      <c r="C362" s="217"/>
      <c r="D362" s="185" t="s">
        <v>4</v>
      </c>
      <c r="E362" s="198" t="s">
        <v>5</v>
      </c>
      <c r="F362" s="198"/>
      <c r="G362" s="198"/>
      <c r="H362" s="199" t="s">
        <v>6</v>
      </c>
      <c r="I362" s="185" t="s">
        <v>7</v>
      </c>
      <c r="J362" s="111"/>
    </row>
    <row r="363" spans="1:243" ht="19.5" customHeight="1">
      <c r="A363" s="217"/>
      <c r="B363" s="217"/>
      <c r="C363" s="217"/>
      <c r="D363" s="185"/>
      <c r="E363" s="51" t="s">
        <v>8</v>
      </c>
      <c r="F363" s="52" t="s">
        <v>9</v>
      </c>
      <c r="G363" s="52" t="s">
        <v>10</v>
      </c>
      <c r="H363" s="199"/>
      <c r="I363" s="185"/>
      <c r="J363" s="111"/>
      <c r="IA363" s="27"/>
      <c r="IB363" s="27"/>
      <c r="IC363" s="27"/>
      <c r="ID363" s="27"/>
      <c r="IE363" s="27"/>
      <c r="IF363" s="27"/>
      <c r="IG363" s="27"/>
      <c r="IH363" s="27"/>
      <c r="II363" s="27"/>
    </row>
    <row r="364" spans="1:243" ht="15.75" customHeight="1">
      <c r="A364" s="212" t="s">
        <v>11</v>
      </c>
      <c r="B364" s="212"/>
      <c r="C364" s="212"/>
      <c r="D364" s="212"/>
      <c r="E364" s="212"/>
      <c r="F364" s="212"/>
      <c r="G364" s="212"/>
      <c r="H364" s="212"/>
      <c r="I364" s="212"/>
      <c r="J364" s="111"/>
      <c r="IA364" s="27"/>
      <c r="IB364" s="27"/>
      <c r="IC364" s="27"/>
      <c r="ID364" s="27"/>
      <c r="IE364" s="27"/>
      <c r="IF364" s="27"/>
      <c r="IG364" s="27"/>
      <c r="IH364" s="27"/>
      <c r="II364" s="27"/>
    </row>
    <row r="365" spans="1:10" ht="15" customHeight="1">
      <c r="A365" s="190" t="s">
        <v>18</v>
      </c>
      <c r="B365" s="190"/>
      <c r="C365" s="190"/>
      <c r="D365" s="11">
        <v>150</v>
      </c>
      <c r="E365" s="81">
        <f>57.32/1000*150</f>
        <v>8.598</v>
      </c>
      <c r="F365" s="82">
        <v>4.2651</v>
      </c>
      <c r="G365" s="82">
        <v>38.6415</v>
      </c>
      <c r="H365" s="83">
        <v>243.75</v>
      </c>
      <c r="I365" s="15">
        <v>302</v>
      </c>
      <c r="J365" s="111"/>
    </row>
    <row r="366" spans="1:10" ht="15" customHeight="1">
      <c r="A366" s="191" t="s">
        <v>93</v>
      </c>
      <c r="B366" s="191"/>
      <c r="C366" s="191"/>
      <c r="D366" s="16">
        <v>100</v>
      </c>
      <c r="E366" s="116">
        <f>11.73/55*90</f>
        <v>19.194545454545455</v>
      </c>
      <c r="F366" s="103">
        <f>12.91/55*90</f>
        <v>21.125454545454545</v>
      </c>
      <c r="G366" s="103">
        <f>0.25/55*90</f>
        <v>0.40909090909090906</v>
      </c>
      <c r="H366" s="117">
        <f>164/55*90</f>
        <v>268.3636363636364</v>
      </c>
      <c r="I366" s="16">
        <v>288</v>
      </c>
      <c r="J366" s="111"/>
    </row>
    <row r="367" spans="1:10" s="27" customFormat="1" ht="16.5" customHeight="1">
      <c r="A367" s="191" t="s">
        <v>20</v>
      </c>
      <c r="B367" s="191"/>
      <c r="C367" s="191"/>
      <c r="D367" s="16">
        <v>40</v>
      </c>
      <c r="E367" s="17">
        <v>3.16</v>
      </c>
      <c r="F367" s="18">
        <v>0.4</v>
      </c>
      <c r="G367" s="18">
        <v>19.32</v>
      </c>
      <c r="H367" s="42">
        <v>94</v>
      </c>
      <c r="I367" s="20" t="s">
        <v>21</v>
      </c>
      <c r="J367" s="113"/>
    </row>
    <row r="368" spans="1:234" s="27" customFormat="1" ht="16.5" customHeight="1">
      <c r="A368" s="205" t="s">
        <v>14</v>
      </c>
      <c r="B368" s="205"/>
      <c r="C368" s="205"/>
      <c r="D368" s="62">
        <v>180</v>
      </c>
      <c r="E368" s="63">
        <v>0.06</v>
      </c>
      <c r="F368" s="64">
        <v>0.02</v>
      </c>
      <c r="G368" s="64">
        <v>9.99</v>
      </c>
      <c r="H368" s="65">
        <v>40</v>
      </c>
      <c r="I368" s="66">
        <v>392</v>
      </c>
      <c r="J368" s="113"/>
      <c r="HR368" s="1"/>
      <c r="HS368" s="1"/>
      <c r="HT368" s="1"/>
      <c r="HU368" s="1"/>
      <c r="HV368" s="1"/>
      <c r="HW368" s="1"/>
      <c r="HX368" s="1"/>
      <c r="HY368" s="1"/>
      <c r="HZ368" s="1"/>
    </row>
    <row r="369" spans="1:243" ht="16.5" customHeight="1">
      <c r="A369" s="195" t="s">
        <v>15</v>
      </c>
      <c r="B369" s="195"/>
      <c r="C369" s="195"/>
      <c r="D369" s="176">
        <f>SUM(D365:D368)</f>
        <v>470</v>
      </c>
      <c r="E369" s="67">
        <f>SUM(E365:E368)</f>
        <v>31.012545454545453</v>
      </c>
      <c r="F369" s="67">
        <f>SUM(F365:F368)</f>
        <v>25.810554545454544</v>
      </c>
      <c r="G369" s="67">
        <f>SUM(G365:G368)</f>
        <v>68.3605909090909</v>
      </c>
      <c r="H369" s="67">
        <f>SUM(H365:H368)</f>
        <v>646.1136363636364</v>
      </c>
      <c r="I369" s="68"/>
      <c r="J369" s="127"/>
      <c r="IA369" s="27"/>
      <c r="IB369" s="27"/>
      <c r="IC369" s="27"/>
      <c r="ID369" s="27"/>
      <c r="IE369" s="27"/>
      <c r="IF369" s="27"/>
      <c r="IG369" s="27"/>
      <c r="IH369" s="27"/>
      <c r="II369" s="27"/>
    </row>
    <row r="370" spans="1:243" ht="16.5" customHeight="1">
      <c r="A370" s="209" t="s">
        <v>16</v>
      </c>
      <c r="B370" s="209"/>
      <c r="C370" s="209"/>
      <c r="D370" s="209"/>
      <c r="E370" s="209"/>
      <c r="F370" s="209"/>
      <c r="G370" s="209"/>
      <c r="H370" s="209"/>
      <c r="I370" s="209"/>
      <c r="J370" s="127"/>
      <c r="IA370" s="27"/>
      <c r="IB370" s="27"/>
      <c r="IC370" s="27"/>
      <c r="ID370" s="27"/>
      <c r="IE370" s="27"/>
      <c r="IF370" s="27"/>
      <c r="IG370" s="27"/>
      <c r="IH370" s="27"/>
      <c r="II370" s="27"/>
    </row>
    <row r="371" spans="1:248" ht="15.75" customHeight="1">
      <c r="A371" s="190" t="s">
        <v>94</v>
      </c>
      <c r="B371" s="190"/>
      <c r="C371" s="190"/>
      <c r="D371" s="11">
        <v>250</v>
      </c>
      <c r="E371" s="12">
        <f>5.93/1000*250</f>
        <v>1.4825</v>
      </c>
      <c r="F371" s="13">
        <f>19.67/1000*250</f>
        <v>4.9175</v>
      </c>
      <c r="G371" s="13">
        <f>24.36/1000*250</f>
        <v>6.09</v>
      </c>
      <c r="H371" s="14">
        <f>305/1000*250</f>
        <v>76.25</v>
      </c>
      <c r="I371" s="11">
        <v>98</v>
      </c>
      <c r="J371" s="114"/>
      <c r="IJ371" s="27"/>
      <c r="IK371" s="27"/>
      <c r="IL371" s="27"/>
      <c r="IM371" s="27"/>
      <c r="IN371" s="27"/>
    </row>
    <row r="372" spans="1:10" s="27" customFormat="1" ht="15.75" customHeight="1">
      <c r="A372" s="191" t="s">
        <v>27</v>
      </c>
      <c r="B372" s="191"/>
      <c r="C372" s="191"/>
      <c r="D372" s="16">
        <v>180</v>
      </c>
      <c r="E372" s="53">
        <f>20.43/1000*180</f>
        <v>3.6774</v>
      </c>
      <c r="F372" s="54">
        <f>32.01/1000*180</f>
        <v>5.761799999999999</v>
      </c>
      <c r="G372" s="54">
        <f>136.26/1000*180</f>
        <v>24.526799999999998</v>
      </c>
      <c r="H372" s="42">
        <f>915/1000*180</f>
        <v>164.70000000000002</v>
      </c>
      <c r="I372" s="16">
        <v>312</v>
      </c>
      <c r="J372" s="114"/>
    </row>
    <row r="373" spans="1:10" ht="15.75" customHeight="1">
      <c r="A373" s="191" t="s">
        <v>95</v>
      </c>
      <c r="B373" s="191"/>
      <c r="C373" s="191"/>
      <c r="D373" s="16">
        <v>90</v>
      </c>
      <c r="E373" s="17">
        <v>7.43625</v>
      </c>
      <c r="F373" s="18">
        <v>7.245</v>
      </c>
      <c r="G373" s="18">
        <v>10.58625</v>
      </c>
      <c r="H373" s="19">
        <v>137.25</v>
      </c>
      <c r="I373" s="20">
        <v>253</v>
      </c>
      <c r="J373" s="114"/>
    </row>
    <row r="374" spans="1:248" s="27" customFormat="1" ht="15.75" customHeight="1">
      <c r="A374" s="191" t="s">
        <v>14</v>
      </c>
      <c r="B374" s="191"/>
      <c r="C374" s="191"/>
      <c r="D374" s="16">
        <v>180</v>
      </c>
      <c r="E374" s="53">
        <v>0.06</v>
      </c>
      <c r="F374" s="54">
        <v>0.02</v>
      </c>
      <c r="G374" s="54">
        <v>9.99</v>
      </c>
      <c r="H374" s="42">
        <v>40</v>
      </c>
      <c r="I374" s="20">
        <v>392</v>
      </c>
      <c r="J374" s="114"/>
      <c r="HX374" s="28"/>
      <c r="HY374" s="28"/>
      <c r="HZ374" s="28"/>
      <c r="IA374" s="28"/>
      <c r="IB374" s="28"/>
      <c r="IC374" s="28"/>
      <c r="ID374" s="28"/>
      <c r="IE374" s="28"/>
      <c r="IF374" s="28"/>
      <c r="IG374" s="28"/>
      <c r="IH374" s="28"/>
      <c r="II374" s="28"/>
      <c r="IJ374" s="28"/>
      <c r="IK374" s="28"/>
      <c r="IL374" s="28"/>
      <c r="IM374" s="28"/>
      <c r="IN374" s="28"/>
    </row>
    <row r="375" spans="1:243" ht="15.75" customHeight="1">
      <c r="A375" s="191" t="s">
        <v>33</v>
      </c>
      <c r="B375" s="191"/>
      <c r="C375" s="191"/>
      <c r="D375" s="16">
        <v>30</v>
      </c>
      <c r="E375" s="17">
        <v>2.37</v>
      </c>
      <c r="F375" s="18">
        <v>0.30000000000000004</v>
      </c>
      <c r="G375" s="18">
        <v>14.49</v>
      </c>
      <c r="H375" s="42">
        <v>70.5</v>
      </c>
      <c r="I375" s="20" t="s">
        <v>21</v>
      </c>
      <c r="J375" s="114"/>
      <c r="IA375" s="27"/>
      <c r="IB375" s="27"/>
      <c r="IC375" s="27"/>
      <c r="ID375" s="27"/>
      <c r="IE375" s="27"/>
      <c r="IF375" s="27"/>
      <c r="IG375" s="27"/>
      <c r="IH375" s="27"/>
      <c r="II375" s="27"/>
    </row>
    <row r="376" spans="1:243" ht="16.5" customHeight="1">
      <c r="A376" s="205" t="s">
        <v>22</v>
      </c>
      <c r="B376" s="205"/>
      <c r="C376" s="205"/>
      <c r="D376" s="62">
        <v>30</v>
      </c>
      <c r="E376" s="63">
        <v>1.98</v>
      </c>
      <c r="F376" s="64">
        <v>0.36</v>
      </c>
      <c r="G376" s="64">
        <v>10.02</v>
      </c>
      <c r="H376" s="65">
        <v>52.2</v>
      </c>
      <c r="I376" s="66" t="s">
        <v>21</v>
      </c>
      <c r="J376" s="114"/>
      <c r="IA376" s="27"/>
      <c r="IB376" s="27"/>
      <c r="IC376" s="27"/>
      <c r="ID376" s="27"/>
      <c r="IE376" s="27"/>
      <c r="IF376" s="27"/>
      <c r="IG376" s="27"/>
      <c r="IH376" s="27"/>
      <c r="II376" s="27"/>
    </row>
    <row r="377" spans="1:10" ht="16.5" customHeight="1">
      <c r="A377" s="195" t="s">
        <v>23</v>
      </c>
      <c r="B377" s="195"/>
      <c r="C377" s="195"/>
      <c r="D377" s="35">
        <f>SUM(D371:D376)</f>
        <v>760</v>
      </c>
      <c r="E377" s="132">
        <f>SUM(E371:E376)</f>
        <v>17.00615</v>
      </c>
      <c r="F377" s="132">
        <f>SUM(F371:F376)</f>
        <v>18.6043</v>
      </c>
      <c r="G377" s="132">
        <f>SUM(G371:G376)</f>
        <v>75.70304999999999</v>
      </c>
      <c r="H377" s="132">
        <f>SUM(H371:H376)</f>
        <v>540.9000000000001</v>
      </c>
      <c r="I377" s="68"/>
      <c r="J377" s="121"/>
    </row>
    <row r="378" spans="1:10" ht="15.75" customHeight="1">
      <c r="A378" s="203" t="s">
        <v>54</v>
      </c>
      <c r="B378" s="203"/>
      <c r="C378" s="203"/>
      <c r="D378" s="203"/>
      <c r="E378" s="44">
        <f>E369+E377</f>
        <v>48.01869545454545</v>
      </c>
      <c r="F378" s="45">
        <f>F369+F377</f>
        <v>44.414854545454546</v>
      </c>
      <c r="G378" s="45">
        <f>G369+G377</f>
        <v>144.0636409090909</v>
      </c>
      <c r="H378" s="46">
        <f>H369+H377</f>
        <v>1187.0136363636366</v>
      </c>
      <c r="I378" s="120"/>
      <c r="J378" s="122"/>
    </row>
    <row r="379" spans="1:9" ht="15.75" customHeight="1">
      <c r="A379" s="183" t="s">
        <v>83</v>
      </c>
      <c r="B379" s="183"/>
      <c r="C379" s="183"/>
      <c r="D379" s="3"/>
      <c r="E379" s="48"/>
      <c r="F379" s="48"/>
      <c r="G379" s="48"/>
      <c r="H379" s="48"/>
      <c r="I379" s="48"/>
    </row>
    <row r="380" spans="1:9" ht="16.5" customHeight="1">
      <c r="A380" s="184" t="s">
        <v>1</v>
      </c>
      <c r="B380" s="184"/>
      <c r="C380" s="184"/>
      <c r="D380" s="6"/>
      <c r="E380" s="50"/>
      <c r="F380" s="50"/>
      <c r="G380" s="50"/>
      <c r="H380" s="50"/>
      <c r="I380" s="50"/>
    </row>
    <row r="381" spans="1:10" ht="16.5" customHeight="1">
      <c r="A381" s="185" t="s">
        <v>96</v>
      </c>
      <c r="B381" s="185"/>
      <c r="C381" s="185"/>
      <c r="D381" s="185"/>
      <c r="E381" s="185"/>
      <c r="F381" s="185"/>
      <c r="G381" s="185"/>
      <c r="H381" s="185"/>
      <c r="I381" s="185"/>
      <c r="J381" s="111"/>
    </row>
    <row r="382" spans="1:10" ht="21" customHeight="1">
      <c r="A382" s="217" t="s">
        <v>3</v>
      </c>
      <c r="B382" s="217"/>
      <c r="C382" s="217"/>
      <c r="D382" s="185" t="s">
        <v>4</v>
      </c>
      <c r="E382" s="198" t="s">
        <v>5</v>
      </c>
      <c r="F382" s="198"/>
      <c r="G382" s="198"/>
      <c r="H382" s="199" t="s">
        <v>6</v>
      </c>
      <c r="I382" s="185" t="s">
        <v>7</v>
      </c>
      <c r="J382" s="111"/>
    </row>
    <row r="383" spans="1:10" ht="21" customHeight="1">
      <c r="A383" s="217"/>
      <c r="B383" s="217"/>
      <c r="C383" s="217"/>
      <c r="D383" s="185"/>
      <c r="E383" s="51" t="s">
        <v>8</v>
      </c>
      <c r="F383" s="52" t="s">
        <v>9</v>
      </c>
      <c r="G383" s="52" t="s">
        <v>10</v>
      </c>
      <c r="H383" s="199"/>
      <c r="I383" s="185"/>
      <c r="J383" s="111"/>
    </row>
    <row r="384" spans="1:10" ht="18.75" customHeight="1">
      <c r="A384" s="185" t="s">
        <v>11</v>
      </c>
      <c r="B384" s="185"/>
      <c r="C384" s="185"/>
      <c r="D384" s="185"/>
      <c r="E384" s="185"/>
      <c r="F384" s="185"/>
      <c r="G384" s="185"/>
      <c r="H384" s="185"/>
      <c r="I384" s="185"/>
      <c r="J384" s="111"/>
    </row>
    <row r="385" spans="1:243" ht="15.75" customHeight="1">
      <c r="A385" s="204" t="s">
        <v>67</v>
      </c>
      <c r="B385" s="204"/>
      <c r="C385" s="204"/>
      <c r="D385" s="11">
        <v>170</v>
      </c>
      <c r="E385" s="166">
        <v>11.5056</v>
      </c>
      <c r="F385" s="74">
        <v>13.532</v>
      </c>
      <c r="G385" s="74">
        <v>28.9952</v>
      </c>
      <c r="H385" s="177">
        <v>284.24</v>
      </c>
      <c r="I385" s="15">
        <v>204</v>
      </c>
      <c r="J385" s="111"/>
      <c r="IA385" s="27"/>
      <c r="IB385" s="27"/>
      <c r="IC385" s="27"/>
      <c r="ID385" s="27"/>
      <c r="IE385" s="27"/>
      <c r="IF385" s="27"/>
      <c r="IG385" s="27"/>
      <c r="IH385" s="27"/>
      <c r="II385" s="27"/>
    </row>
    <row r="386" spans="1:10" ht="16.5" customHeight="1">
      <c r="A386" s="191" t="s">
        <v>20</v>
      </c>
      <c r="B386" s="191"/>
      <c r="C386" s="191"/>
      <c r="D386" s="16">
        <v>30</v>
      </c>
      <c r="E386" s="17">
        <v>2.37</v>
      </c>
      <c r="F386" s="18">
        <v>0.30000000000000004</v>
      </c>
      <c r="G386" s="18">
        <v>14.49</v>
      </c>
      <c r="H386" s="42">
        <v>70.5</v>
      </c>
      <c r="I386" s="20" t="s">
        <v>21</v>
      </c>
      <c r="J386" s="111"/>
    </row>
    <row r="387" spans="1:248" ht="15.75" customHeight="1">
      <c r="A387" s="191" t="s">
        <v>37</v>
      </c>
      <c r="B387" s="191"/>
      <c r="C387" s="191"/>
      <c r="D387" s="16">
        <v>180</v>
      </c>
      <c r="E387" s="53">
        <v>2.85</v>
      </c>
      <c r="F387" s="54">
        <v>2.41</v>
      </c>
      <c r="G387" s="54">
        <v>14.36</v>
      </c>
      <c r="H387" s="42">
        <v>91</v>
      </c>
      <c r="I387" s="20">
        <v>395</v>
      </c>
      <c r="J387" s="111"/>
      <c r="IJ387" s="27"/>
      <c r="IK387" s="27"/>
      <c r="IL387" s="27"/>
      <c r="IM387" s="27"/>
      <c r="IN387" s="27"/>
    </row>
    <row r="388" spans="1:10" ht="16.5" customHeight="1">
      <c r="A388" s="192" t="s">
        <v>79</v>
      </c>
      <c r="B388" s="192"/>
      <c r="C388" s="192"/>
      <c r="D388" s="142">
        <v>150</v>
      </c>
      <c r="E388" s="178">
        <f>0.4/100*150</f>
        <v>0.6</v>
      </c>
      <c r="F388" s="87">
        <f>0.4/100*150</f>
        <v>0.6</v>
      </c>
      <c r="G388" s="87">
        <f>9.8/100*150</f>
        <v>14.700000000000001</v>
      </c>
      <c r="H388" s="179">
        <f>47/100*150</f>
        <v>70.5</v>
      </c>
      <c r="I388" s="146">
        <v>338</v>
      </c>
      <c r="J388" s="114"/>
    </row>
    <row r="389" spans="1:10" ht="17.25" customHeight="1">
      <c r="A389" s="195" t="s">
        <v>15</v>
      </c>
      <c r="B389" s="195"/>
      <c r="C389" s="195"/>
      <c r="D389" s="35">
        <f>SUM(D385:D388)</f>
        <v>530</v>
      </c>
      <c r="E389" s="67">
        <f>SUM(E385:E388)</f>
        <v>17.3256</v>
      </c>
      <c r="F389" s="67">
        <f>SUM(F385:F388)</f>
        <v>16.842000000000002</v>
      </c>
      <c r="G389" s="67">
        <f>SUM(G385:G388)</f>
        <v>72.5452</v>
      </c>
      <c r="H389" s="67">
        <f>SUM(H385:H388)</f>
        <v>516.24</v>
      </c>
      <c r="I389" s="68"/>
      <c r="J389" s="111"/>
    </row>
    <row r="390" spans="1:10" ht="16.5" customHeight="1">
      <c r="A390" s="185" t="s">
        <v>16</v>
      </c>
      <c r="B390" s="185"/>
      <c r="C390" s="185"/>
      <c r="D390" s="185"/>
      <c r="E390" s="185"/>
      <c r="F390" s="185"/>
      <c r="G390" s="185"/>
      <c r="H390" s="185"/>
      <c r="I390" s="185"/>
      <c r="J390" s="111"/>
    </row>
    <row r="391" spans="1:248" ht="15.75" customHeight="1">
      <c r="A391" s="204" t="s">
        <v>39</v>
      </c>
      <c r="B391" s="204"/>
      <c r="C391" s="204"/>
      <c r="D391" s="180">
        <v>250</v>
      </c>
      <c r="E391" s="93">
        <f>7.89/1000*250</f>
        <v>1.9725</v>
      </c>
      <c r="F391" s="13">
        <f>10.85/1000*250</f>
        <v>2.7125</v>
      </c>
      <c r="G391" s="13">
        <f>48.45/1000*250</f>
        <v>12.1125</v>
      </c>
      <c r="H391" s="94">
        <f>343/1000*250</f>
        <v>85.75</v>
      </c>
      <c r="I391" s="95">
        <v>101</v>
      </c>
      <c r="J391" s="114"/>
      <c r="IJ391" s="27"/>
      <c r="IK391" s="27"/>
      <c r="IL391" s="27"/>
      <c r="IM391" s="27"/>
      <c r="IN391" s="27"/>
    </row>
    <row r="392" spans="1:10" ht="15.75" customHeight="1">
      <c r="A392" s="191" t="s">
        <v>51</v>
      </c>
      <c r="B392" s="191"/>
      <c r="C392" s="191"/>
      <c r="D392" s="96">
        <v>155</v>
      </c>
      <c r="E392" s="37">
        <v>2.61285714285714</v>
      </c>
      <c r="F392" s="18">
        <v>16.2233333333333</v>
      </c>
      <c r="G392" s="18">
        <v>12.6952380952381</v>
      </c>
      <c r="H392" s="181">
        <v>209.619047619048</v>
      </c>
      <c r="I392" s="99">
        <v>143</v>
      </c>
      <c r="J392" s="114"/>
    </row>
    <row r="393" spans="1:248" ht="15.75" customHeight="1">
      <c r="A393" s="191" t="s">
        <v>76</v>
      </c>
      <c r="B393" s="191"/>
      <c r="C393" s="191"/>
      <c r="D393" s="96">
        <v>90</v>
      </c>
      <c r="E393" s="37">
        <v>9.3825</v>
      </c>
      <c r="F393" s="18">
        <v>11.08125</v>
      </c>
      <c r="G393" s="18">
        <v>11.26125</v>
      </c>
      <c r="H393" s="182">
        <v>182.25</v>
      </c>
      <c r="I393" s="125">
        <v>294</v>
      </c>
      <c r="J393" s="111"/>
      <c r="IJ393" s="27"/>
      <c r="IK393" s="27"/>
      <c r="IL393" s="27"/>
      <c r="IM393" s="27"/>
      <c r="IN393" s="27"/>
    </row>
    <row r="394" spans="1:248" s="27" customFormat="1" ht="15.75" customHeight="1">
      <c r="A394" s="191" t="s">
        <v>14</v>
      </c>
      <c r="B394" s="191"/>
      <c r="C394" s="191"/>
      <c r="D394" s="96">
        <v>180</v>
      </c>
      <c r="E394" s="97">
        <v>0.06</v>
      </c>
      <c r="F394" s="54">
        <v>0.02</v>
      </c>
      <c r="G394" s="54">
        <v>9.99</v>
      </c>
      <c r="H394" s="98">
        <v>40</v>
      </c>
      <c r="I394" s="99">
        <v>392</v>
      </c>
      <c r="J394" s="114"/>
      <c r="HX394" s="28"/>
      <c r="HY394" s="28"/>
      <c r="HZ394" s="28"/>
      <c r="IA394" s="28"/>
      <c r="IB394" s="28"/>
      <c r="IC394" s="28"/>
      <c r="ID394" s="28"/>
      <c r="IE394" s="28"/>
      <c r="IF394" s="28"/>
      <c r="IG394" s="28"/>
      <c r="IH394" s="28"/>
      <c r="II394" s="28"/>
      <c r="IJ394" s="28"/>
      <c r="IK394" s="28"/>
      <c r="IL394" s="28"/>
      <c r="IM394" s="28"/>
      <c r="IN394" s="28"/>
    </row>
    <row r="395" spans="1:10" ht="15.75" customHeight="1">
      <c r="A395" s="191" t="s">
        <v>33</v>
      </c>
      <c r="B395" s="191"/>
      <c r="C395" s="191"/>
      <c r="D395" s="96">
        <v>30</v>
      </c>
      <c r="E395" s="37">
        <v>2.37</v>
      </c>
      <c r="F395" s="18">
        <v>0.30000000000000004</v>
      </c>
      <c r="G395" s="18">
        <v>14.49</v>
      </c>
      <c r="H395" s="98">
        <v>70.5</v>
      </c>
      <c r="I395" s="99" t="s">
        <v>21</v>
      </c>
      <c r="J395" s="114"/>
    </row>
    <row r="396" spans="1:10" ht="18.75" customHeight="1">
      <c r="A396" s="205" t="s">
        <v>22</v>
      </c>
      <c r="B396" s="205"/>
      <c r="C396" s="205"/>
      <c r="D396" s="106">
        <v>30</v>
      </c>
      <c r="E396" s="107">
        <v>1.98</v>
      </c>
      <c r="F396" s="24">
        <v>0.36</v>
      </c>
      <c r="G396" s="24">
        <v>10.02</v>
      </c>
      <c r="H396" s="108">
        <v>52.2</v>
      </c>
      <c r="I396" s="109" t="s">
        <v>21</v>
      </c>
      <c r="J396" s="114"/>
    </row>
    <row r="397" spans="1:10" ht="18" customHeight="1">
      <c r="A397" s="195" t="s">
        <v>23</v>
      </c>
      <c r="B397" s="195"/>
      <c r="C397" s="195"/>
      <c r="D397" s="130">
        <f>SUM(D391:D396)</f>
        <v>735</v>
      </c>
      <c r="E397" s="69">
        <f>SUM(E391:E396)</f>
        <v>18.377857142857142</v>
      </c>
      <c r="F397" s="70">
        <f>SUM(F391:F396)</f>
        <v>30.6970833333333</v>
      </c>
      <c r="G397" s="70">
        <f>SUM(G391:G396)</f>
        <v>70.5689880952381</v>
      </c>
      <c r="H397" s="71">
        <f>SUM(H391:H396)</f>
        <v>640.319047619048</v>
      </c>
      <c r="I397" s="47"/>
      <c r="J397" s="121"/>
    </row>
    <row r="398" spans="1:10" ht="18" customHeight="1">
      <c r="A398" s="229" t="s">
        <v>24</v>
      </c>
      <c r="B398" s="229"/>
      <c r="C398" s="229"/>
      <c r="D398" s="229"/>
      <c r="E398" s="44">
        <f>E389+E397</f>
        <v>35.70345714285715</v>
      </c>
      <c r="F398" s="45">
        <f>F389+F397</f>
        <v>47.5390833333333</v>
      </c>
      <c r="G398" s="45">
        <f>G389+G397</f>
        <v>143.1141880952381</v>
      </c>
      <c r="H398" s="46">
        <f>H389+H397</f>
        <v>1156.559047619048</v>
      </c>
      <c r="I398" s="33"/>
      <c r="J398" s="127"/>
    </row>
    <row r="399" ht="15.75" customHeight="1"/>
  </sheetData>
  <sheetProtection selectLockedCells="1" selectUnlockedCells="1"/>
  <mergeCells count="458">
    <mergeCell ref="A397:C397"/>
    <mergeCell ref="A398:D398"/>
    <mergeCell ref="A391:C391"/>
    <mergeCell ref="A392:C392"/>
    <mergeCell ref="A393:C393"/>
    <mergeCell ref="A394:C394"/>
    <mergeCell ref="A395:C395"/>
    <mergeCell ref="A396:C396"/>
    <mergeCell ref="A385:C385"/>
    <mergeCell ref="A386:C386"/>
    <mergeCell ref="A387:C387"/>
    <mergeCell ref="A388:C388"/>
    <mergeCell ref="A389:C389"/>
    <mergeCell ref="A390:I390"/>
    <mergeCell ref="A382:C383"/>
    <mergeCell ref="D382:D383"/>
    <mergeCell ref="E382:G382"/>
    <mergeCell ref="H382:H383"/>
    <mergeCell ref="I382:I383"/>
    <mergeCell ref="A384:I384"/>
    <mergeCell ref="A376:C376"/>
    <mergeCell ref="A377:C377"/>
    <mergeCell ref="A378:D378"/>
    <mergeCell ref="A379:C379"/>
    <mergeCell ref="A380:C380"/>
    <mergeCell ref="A381:I381"/>
    <mergeCell ref="A370:I370"/>
    <mergeCell ref="A371:C371"/>
    <mergeCell ref="A372:C372"/>
    <mergeCell ref="A373:C373"/>
    <mergeCell ref="A374:C374"/>
    <mergeCell ref="A375:C375"/>
    <mergeCell ref="A364:I364"/>
    <mergeCell ref="A365:C365"/>
    <mergeCell ref="A366:C366"/>
    <mergeCell ref="A367:C367"/>
    <mergeCell ref="A368:C368"/>
    <mergeCell ref="A369:C369"/>
    <mergeCell ref="A357:C357"/>
    <mergeCell ref="A358:D358"/>
    <mergeCell ref="A359:C359"/>
    <mergeCell ref="A360:C360"/>
    <mergeCell ref="A361:I361"/>
    <mergeCell ref="A362:C363"/>
    <mergeCell ref="D362:D363"/>
    <mergeCell ref="E362:G362"/>
    <mergeCell ref="H362:H363"/>
    <mergeCell ref="I362:I363"/>
    <mergeCell ref="A351:C351"/>
    <mergeCell ref="A352:C352"/>
    <mergeCell ref="A353:C353"/>
    <mergeCell ref="A354:C354"/>
    <mergeCell ref="A355:C355"/>
    <mergeCell ref="A356:C356"/>
    <mergeCell ref="A345:C345"/>
    <mergeCell ref="A346:C346"/>
    <mergeCell ref="A347:C347"/>
    <mergeCell ref="A348:C348"/>
    <mergeCell ref="A349:C349"/>
    <mergeCell ref="A350:I350"/>
    <mergeCell ref="A342:C343"/>
    <mergeCell ref="D342:D343"/>
    <mergeCell ref="E342:G342"/>
    <mergeCell ref="H342:H343"/>
    <mergeCell ref="I342:I343"/>
    <mergeCell ref="A344:I344"/>
    <mergeCell ref="A336:C336"/>
    <mergeCell ref="A337:C337"/>
    <mergeCell ref="A338:D338"/>
    <mergeCell ref="A339:C339"/>
    <mergeCell ref="A340:C340"/>
    <mergeCell ref="A341:I341"/>
    <mergeCell ref="A330:I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21:C322"/>
    <mergeCell ref="D321:D322"/>
    <mergeCell ref="E321:G321"/>
    <mergeCell ref="H321:H322"/>
    <mergeCell ref="I321:I322"/>
    <mergeCell ref="A323:I323"/>
    <mergeCell ref="A315:C315"/>
    <mergeCell ref="A316:C316"/>
    <mergeCell ref="A317:D317"/>
    <mergeCell ref="A318:C318"/>
    <mergeCell ref="A319:C319"/>
    <mergeCell ref="A320:I320"/>
    <mergeCell ref="A309:C309"/>
    <mergeCell ref="A310:C310"/>
    <mergeCell ref="A311:C311"/>
    <mergeCell ref="A312:C312"/>
    <mergeCell ref="A313:C313"/>
    <mergeCell ref="A314:C314"/>
    <mergeCell ref="A303:C303"/>
    <mergeCell ref="A304:C304"/>
    <mergeCell ref="A305:C305"/>
    <mergeCell ref="A306:C306"/>
    <mergeCell ref="A307:C307"/>
    <mergeCell ref="A308:I308"/>
    <mergeCell ref="A300:C301"/>
    <mergeCell ref="D300:D301"/>
    <mergeCell ref="E300:G300"/>
    <mergeCell ref="H300:H301"/>
    <mergeCell ref="I300:I301"/>
    <mergeCell ref="A302:I302"/>
    <mergeCell ref="A294:C294"/>
    <mergeCell ref="A295:C295"/>
    <mergeCell ref="A296:D296"/>
    <mergeCell ref="A297:C297"/>
    <mergeCell ref="A298:C298"/>
    <mergeCell ref="A299:I299"/>
    <mergeCell ref="A288:I288"/>
    <mergeCell ref="A289:C289"/>
    <mergeCell ref="A290:C290"/>
    <mergeCell ref="A291:C291"/>
    <mergeCell ref="A292:C292"/>
    <mergeCell ref="A293:C293"/>
    <mergeCell ref="A282:I282"/>
    <mergeCell ref="A283:C283"/>
    <mergeCell ref="A284:C284"/>
    <mergeCell ref="A285:C285"/>
    <mergeCell ref="A286:C286"/>
    <mergeCell ref="A287:C287"/>
    <mergeCell ref="A275:C275"/>
    <mergeCell ref="A276:D276"/>
    <mergeCell ref="A277:C277"/>
    <mergeCell ref="A278:C278"/>
    <mergeCell ref="A279:I279"/>
    <mergeCell ref="A280:C281"/>
    <mergeCell ref="D280:D281"/>
    <mergeCell ref="E280:G280"/>
    <mergeCell ref="H280:H281"/>
    <mergeCell ref="I280:I281"/>
    <mergeCell ref="A269:I269"/>
    <mergeCell ref="A270:C270"/>
    <mergeCell ref="A271:C271"/>
    <mergeCell ref="A272:C272"/>
    <mergeCell ref="A273:C273"/>
    <mergeCell ref="A274:C274"/>
    <mergeCell ref="A263:I263"/>
    <mergeCell ref="A264:C264"/>
    <mergeCell ref="A265:C265"/>
    <mergeCell ref="A266:C266"/>
    <mergeCell ref="A267:C267"/>
    <mergeCell ref="A268:C268"/>
    <mergeCell ref="A256:C256"/>
    <mergeCell ref="A257:D257"/>
    <mergeCell ref="A258:C258"/>
    <mergeCell ref="A259:C259"/>
    <mergeCell ref="A260:I260"/>
    <mergeCell ref="A261:C262"/>
    <mergeCell ref="D261:D262"/>
    <mergeCell ref="E261:G261"/>
    <mergeCell ref="H261:H262"/>
    <mergeCell ref="I261:I262"/>
    <mergeCell ref="A250:I250"/>
    <mergeCell ref="A251:C251"/>
    <mergeCell ref="A252:C252"/>
    <mergeCell ref="A253:C253"/>
    <mergeCell ref="A254:C254"/>
    <mergeCell ref="A255:C255"/>
    <mergeCell ref="A244:I244"/>
    <mergeCell ref="A245:C245"/>
    <mergeCell ref="A246:C246"/>
    <mergeCell ref="A247:C247"/>
    <mergeCell ref="A248:C248"/>
    <mergeCell ref="A249:C249"/>
    <mergeCell ref="A237:C237"/>
    <mergeCell ref="A238:D238"/>
    <mergeCell ref="A239:C239"/>
    <mergeCell ref="A240:C240"/>
    <mergeCell ref="A241:I241"/>
    <mergeCell ref="A242:C243"/>
    <mergeCell ref="D242:D243"/>
    <mergeCell ref="E242:G242"/>
    <mergeCell ref="H242:H243"/>
    <mergeCell ref="I242:I243"/>
    <mergeCell ref="A231:C231"/>
    <mergeCell ref="A232:C232"/>
    <mergeCell ref="A233:C233"/>
    <mergeCell ref="A234:C234"/>
    <mergeCell ref="A235:C235"/>
    <mergeCell ref="A236:C236"/>
    <mergeCell ref="A225:I225"/>
    <mergeCell ref="A226:C226"/>
    <mergeCell ref="A227:C227"/>
    <mergeCell ref="A228:C228"/>
    <mergeCell ref="A229:C229"/>
    <mergeCell ref="A230:I230"/>
    <mergeCell ref="A218:C218"/>
    <mergeCell ref="A219:D219"/>
    <mergeCell ref="A220:C220"/>
    <mergeCell ref="A221:C221"/>
    <mergeCell ref="A222:I222"/>
    <mergeCell ref="A223:C224"/>
    <mergeCell ref="D223:D224"/>
    <mergeCell ref="E223:G223"/>
    <mergeCell ref="H223:H224"/>
    <mergeCell ref="I223:I224"/>
    <mergeCell ref="A212:I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203:C204"/>
    <mergeCell ref="D203:D204"/>
    <mergeCell ref="E203:G203"/>
    <mergeCell ref="H203:H204"/>
    <mergeCell ref="I203:I204"/>
    <mergeCell ref="A205:I205"/>
    <mergeCell ref="A197:C197"/>
    <mergeCell ref="A198:C198"/>
    <mergeCell ref="A199:D199"/>
    <mergeCell ref="A200:C200"/>
    <mergeCell ref="A201:C201"/>
    <mergeCell ref="A202:I202"/>
    <mergeCell ref="A191:I191"/>
    <mergeCell ref="A192:C192"/>
    <mergeCell ref="A193:C193"/>
    <mergeCell ref="A194:C194"/>
    <mergeCell ref="A195:C195"/>
    <mergeCell ref="A196:C196"/>
    <mergeCell ref="A185:I185"/>
    <mergeCell ref="A186:C186"/>
    <mergeCell ref="A187:C187"/>
    <mergeCell ref="A188:C188"/>
    <mergeCell ref="A189:C189"/>
    <mergeCell ref="A190:C190"/>
    <mergeCell ref="A178:C178"/>
    <mergeCell ref="A179:D179"/>
    <mergeCell ref="A180:C180"/>
    <mergeCell ref="A181:C181"/>
    <mergeCell ref="A182:I182"/>
    <mergeCell ref="A183:C184"/>
    <mergeCell ref="D183:D184"/>
    <mergeCell ref="E183:G183"/>
    <mergeCell ref="H183:H184"/>
    <mergeCell ref="I183:I184"/>
    <mergeCell ref="A172:C172"/>
    <mergeCell ref="A173:C173"/>
    <mergeCell ref="A174:C174"/>
    <mergeCell ref="A175:C175"/>
    <mergeCell ref="A176:C176"/>
    <mergeCell ref="A177:C177"/>
    <mergeCell ref="A166:C166"/>
    <mergeCell ref="A167:C167"/>
    <mergeCell ref="A168:C168"/>
    <mergeCell ref="A169:C169"/>
    <mergeCell ref="A170:C170"/>
    <mergeCell ref="A171:I171"/>
    <mergeCell ref="A163:C164"/>
    <mergeCell ref="D163:D164"/>
    <mergeCell ref="E163:G163"/>
    <mergeCell ref="H163:H164"/>
    <mergeCell ref="I163:I164"/>
    <mergeCell ref="A165:I165"/>
    <mergeCell ref="A157:C157"/>
    <mergeCell ref="A158:C158"/>
    <mergeCell ref="A159:D159"/>
    <mergeCell ref="A160:C160"/>
    <mergeCell ref="A161:C161"/>
    <mergeCell ref="A162:I162"/>
    <mergeCell ref="A151:C151"/>
    <mergeCell ref="A152:I152"/>
    <mergeCell ref="A153:C153"/>
    <mergeCell ref="A154:C154"/>
    <mergeCell ref="A155:C155"/>
    <mergeCell ref="A156:C156"/>
    <mergeCell ref="A145:I145"/>
    <mergeCell ref="A146:C146"/>
    <mergeCell ref="A147:C147"/>
    <mergeCell ref="A148:C148"/>
    <mergeCell ref="A149:C149"/>
    <mergeCell ref="A150:C150"/>
    <mergeCell ref="A138:C138"/>
    <mergeCell ref="A139:D139"/>
    <mergeCell ref="A140:C140"/>
    <mergeCell ref="A141:C141"/>
    <mergeCell ref="A142:I142"/>
    <mergeCell ref="A143:C144"/>
    <mergeCell ref="D143:D144"/>
    <mergeCell ref="E143:G143"/>
    <mergeCell ref="H143:H144"/>
    <mergeCell ref="I143:I144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I131"/>
    <mergeCell ref="A123:C124"/>
    <mergeCell ref="D123:D124"/>
    <mergeCell ref="E123:G123"/>
    <mergeCell ref="H123:H124"/>
    <mergeCell ref="I123:I124"/>
    <mergeCell ref="A125:I125"/>
    <mergeCell ref="A117:C117"/>
    <mergeCell ref="A118:C118"/>
    <mergeCell ref="A119:D119"/>
    <mergeCell ref="A120:C120"/>
    <mergeCell ref="A121:C121"/>
    <mergeCell ref="A122:I122"/>
    <mergeCell ref="A111:I111"/>
    <mergeCell ref="A112:C112"/>
    <mergeCell ref="A113:C113"/>
    <mergeCell ref="A114:C114"/>
    <mergeCell ref="A115:C115"/>
    <mergeCell ref="A116:C116"/>
    <mergeCell ref="A105:I105"/>
    <mergeCell ref="A106:C106"/>
    <mergeCell ref="A107:C107"/>
    <mergeCell ref="A108:C108"/>
    <mergeCell ref="A109:C109"/>
    <mergeCell ref="A110:C110"/>
    <mergeCell ref="A98:C98"/>
    <mergeCell ref="A99:D99"/>
    <mergeCell ref="A100:C100"/>
    <mergeCell ref="A101:C101"/>
    <mergeCell ref="A102:I102"/>
    <mergeCell ref="A103:C104"/>
    <mergeCell ref="D103:D104"/>
    <mergeCell ref="E103:G103"/>
    <mergeCell ref="H103:H104"/>
    <mergeCell ref="I103:I104"/>
    <mergeCell ref="A92:C92"/>
    <mergeCell ref="A93:C93"/>
    <mergeCell ref="A94:C94"/>
    <mergeCell ref="A95:C95"/>
    <mergeCell ref="A96:C96"/>
    <mergeCell ref="A97:C97"/>
    <mergeCell ref="A86:C86"/>
    <mergeCell ref="A87:C87"/>
    <mergeCell ref="A88:C88"/>
    <mergeCell ref="A89:C89"/>
    <mergeCell ref="A90:C90"/>
    <mergeCell ref="A91:I91"/>
    <mergeCell ref="A83:C84"/>
    <mergeCell ref="D83:D84"/>
    <mergeCell ref="E83:G83"/>
    <mergeCell ref="H83:H84"/>
    <mergeCell ref="I83:I84"/>
    <mergeCell ref="A85:I85"/>
    <mergeCell ref="A77:C77"/>
    <mergeCell ref="A78:C78"/>
    <mergeCell ref="A79:D79"/>
    <mergeCell ref="A80:C80"/>
    <mergeCell ref="A81:C81"/>
    <mergeCell ref="A82:I82"/>
    <mergeCell ref="A71:C71"/>
    <mergeCell ref="A72:I72"/>
    <mergeCell ref="A73:C73"/>
    <mergeCell ref="A74:C74"/>
    <mergeCell ref="A75:C75"/>
    <mergeCell ref="A76:C76"/>
    <mergeCell ref="A65:I65"/>
    <mergeCell ref="A66:C66"/>
    <mergeCell ref="A67:C67"/>
    <mergeCell ref="A68:C68"/>
    <mergeCell ref="A69:C69"/>
    <mergeCell ref="A70:C70"/>
    <mergeCell ref="A58:C58"/>
    <mergeCell ref="A59:D59"/>
    <mergeCell ref="A60:C60"/>
    <mergeCell ref="A61:C61"/>
    <mergeCell ref="A62:I62"/>
    <mergeCell ref="A63:C64"/>
    <mergeCell ref="D63:D64"/>
    <mergeCell ref="E63:G63"/>
    <mergeCell ref="H63:H64"/>
    <mergeCell ref="I63:I64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51:I51"/>
    <mergeCell ref="A43:C44"/>
    <mergeCell ref="D43:D44"/>
    <mergeCell ref="E43:G43"/>
    <mergeCell ref="H43:H44"/>
    <mergeCell ref="I43:I44"/>
    <mergeCell ref="A45:I45"/>
    <mergeCell ref="A37:C37"/>
    <mergeCell ref="A38:C38"/>
    <mergeCell ref="A39:D39"/>
    <mergeCell ref="A40:C40"/>
    <mergeCell ref="A41:C41"/>
    <mergeCell ref="A42:I42"/>
    <mergeCell ref="A31:I31"/>
    <mergeCell ref="A32:C32"/>
    <mergeCell ref="A33:C33"/>
    <mergeCell ref="A34:C34"/>
    <mergeCell ref="A35:C35"/>
    <mergeCell ref="A36:C36"/>
    <mergeCell ref="A25:I25"/>
    <mergeCell ref="A26:C26"/>
    <mergeCell ref="A27:C27"/>
    <mergeCell ref="A28:C28"/>
    <mergeCell ref="A29:C29"/>
    <mergeCell ref="A30:C30"/>
    <mergeCell ref="A18:C18"/>
    <mergeCell ref="A19:D19"/>
    <mergeCell ref="A20:C20"/>
    <mergeCell ref="A21:C21"/>
    <mergeCell ref="A22:I22"/>
    <mergeCell ref="A23:C24"/>
    <mergeCell ref="D23:D24"/>
    <mergeCell ref="E23:G23"/>
    <mergeCell ref="H23:H24"/>
    <mergeCell ref="I23:I24"/>
    <mergeCell ref="A12:C12"/>
    <mergeCell ref="A13:C13"/>
    <mergeCell ref="A14:C14"/>
    <mergeCell ref="A15:C15"/>
    <mergeCell ref="A16:C16"/>
    <mergeCell ref="A17:C17"/>
    <mergeCell ref="A6:I6"/>
    <mergeCell ref="A7:C7"/>
    <mergeCell ref="A8:C8"/>
    <mergeCell ref="A9:C9"/>
    <mergeCell ref="A10:C10"/>
    <mergeCell ref="A11:I11"/>
    <mergeCell ref="A1:C1"/>
    <mergeCell ref="A2:C2"/>
    <mergeCell ref="A3:I3"/>
    <mergeCell ref="A4:C5"/>
    <mergeCell ref="D4:D5"/>
    <mergeCell ref="E4:G4"/>
    <mergeCell ref="H4:H5"/>
    <mergeCell ref="I4:I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rowBreaks count="2" manualBreakCount="2">
    <brk id="121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2022-11-11T08:05:55Z</dcterms:modified>
  <cp:category/>
  <cp:version/>
  <cp:contentType/>
  <cp:contentStatus/>
</cp:coreProperties>
</file>